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Round 2/Deferred to Round 2 IRs (with initial draft responses)/"/>
    </mc:Choice>
  </mc:AlternateContent>
  <xr:revisionPtr revIDLastSave="20" documentId="8_{D40B2C08-C351-43C6-B22F-1BD41960AF0C}" xr6:coauthVersionLast="47" xr6:coauthVersionMax="47" xr10:uidLastSave="{8B4B1489-465D-413A-9C9F-52DF0A15D57E}"/>
  <bookViews>
    <workbookView xWindow="-120" yWindow="-120" windowWidth="29040" windowHeight="15720" tabRatio="939" xr2:uid="{00000000-000D-0000-FFFF-FFFF00000000}"/>
  </bookViews>
  <sheets>
    <sheet name="VRZ and WRZ Combined Summary" sheetId="20" r:id="rId1"/>
    <sheet name="VRZ_Summary" sheetId="15" r:id="rId2"/>
    <sheet name="WRZ_Summary" sheetId="21" r:id="rId3"/>
    <sheet name="VRZ_CCA_w accel CCA" sheetId="19" r:id="rId4"/>
    <sheet name="VRZ_CCA - wo accel CCA" sheetId="18" r:id="rId5"/>
    <sheet name="WRZ_CCA - w accelerated" sheetId="22" r:id="rId6"/>
    <sheet name="WRZ_CCA - wo accelerated" sheetId="23" r:id="rId7"/>
    <sheet name="cap add 16 Q3 proj" sheetId="14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0" l="1"/>
  <c r="F7" i="20"/>
  <c r="E8" i="20"/>
  <c r="F8" i="20"/>
  <c r="E9" i="20"/>
  <c r="F9" i="20"/>
  <c r="E10" i="20"/>
  <c r="F10" i="20"/>
  <c r="E11" i="20"/>
  <c r="F11" i="20"/>
  <c r="E12" i="20"/>
  <c r="F12" i="20"/>
  <c r="E13" i="20"/>
  <c r="F13" i="20"/>
  <c r="E14" i="20"/>
  <c r="F14" i="20"/>
  <c r="E15" i="20"/>
  <c r="F15" i="20"/>
  <c r="F6" i="20"/>
  <c r="E6" i="20"/>
  <c r="L247" i="23"/>
  <c r="K247" i="23"/>
  <c r="G247" i="23"/>
  <c r="F247" i="23"/>
  <c r="E247" i="23"/>
  <c r="H246" i="23"/>
  <c r="J245" i="23"/>
  <c r="I245" i="23"/>
  <c r="M245" i="23" s="1"/>
  <c r="H245" i="23"/>
  <c r="N245" i="23" s="1"/>
  <c r="J243" i="23"/>
  <c r="I243" i="23"/>
  <c r="M243" i="23" s="1"/>
  <c r="H243" i="23"/>
  <c r="N243" i="23" s="1"/>
  <c r="H241" i="23"/>
  <c r="M240" i="23"/>
  <c r="N240" i="23" s="1"/>
  <c r="J240" i="23"/>
  <c r="I240" i="23"/>
  <c r="H240" i="23"/>
  <c r="H239" i="23"/>
  <c r="H238" i="23"/>
  <c r="H237" i="23"/>
  <c r="J236" i="23"/>
  <c r="M236" i="23" s="1"/>
  <c r="N236" i="23" s="1"/>
  <c r="I236" i="23"/>
  <c r="H236" i="23"/>
  <c r="H235" i="23"/>
  <c r="H234" i="23"/>
  <c r="J233" i="23"/>
  <c r="I233" i="23"/>
  <c r="M233" i="23" s="1"/>
  <c r="H233" i="23"/>
  <c r="N233" i="23" s="1"/>
  <c r="C233" i="23"/>
  <c r="D231" i="23"/>
  <c r="H231" i="23" s="1"/>
  <c r="J230" i="23"/>
  <c r="I230" i="23"/>
  <c r="M230" i="23" s="1"/>
  <c r="H230" i="23"/>
  <c r="H228" i="23"/>
  <c r="J227" i="23"/>
  <c r="M227" i="23" s="1"/>
  <c r="I227" i="23"/>
  <c r="H227" i="23"/>
  <c r="N227" i="23" s="1"/>
  <c r="D226" i="23"/>
  <c r="L221" i="23"/>
  <c r="K221" i="23"/>
  <c r="G221" i="23"/>
  <c r="F221" i="23"/>
  <c r="E221" i="23"/>
  <c r="H220" i="23"/>
  <c r="J219" i="23"/>
  <c r="I219" i="23"/>
  <c r="M219" i="23" s="1"/>
  <c r="H219" i="23"/>
  <c r="D218" i="23"/>
  <c r="H218" i="23" s="1"/>
  <c r="J217" i="23"/>
  <c r="I217" i="23"/>
  <c r="H217" i="23"/>
  <c r="H215" i="23"/>
  <c r="J214" i="23"/>
  <c r="I214" i="23"/>
  <c r="M214" i="23" s="1"/>
  <c r="H214" i="23"/>
  <c r="D213" i="23"/>
  <c r="H213" i="23" s="1"/>
  <c r="H212" i="23"/>
  <c r="H211" i="23"/>
  <c r="N210" i="23"/>
  <c r="C236" i="23" s="1"/>
  <c r="M210" i="23"/>
  <c r="J210" i="23"/>
  <c r="I210" i="23"/>
  <c r="H210" i="23"/>
  <c r="H209" i="23"/>
  <c r="H208" i="23"/>
  <c r="M207" i="23"/>
  <c r="J207" i="23"/>
  <c r="I207" i="23"/>
  <c r="H207" i="23"/>
  <c r="N207" i="23" s="1"/>
  <c r="M204" i="23"/>
  <c r="J204" i="23"/>
  <c r="I204" i="23"/>
  <c r="H204" i="23"/>
  <c r="H202" i="23"/>
  <c r="J201" i="23"/>
  <c r="M201" i="23" s="1"/>
  <c r="N201" i="23" s="1"/>
  <c r="C227" i="23" s="1"/>
  <c r="I201" i="23"/>
  <c r="H201" i="23"/>
  <c r="L195" i="23"/>
  <c r="K195" i="23"/>
  <c r="G195" i="23"/>
  <c r="F195" i="23"/>
  <c r="E195" i="23"/>
  <c r="H194" i="23"/>
  <c r="J193" i="23"/>
  <c r="I193" i="23"/>
  <c r="M193" i="23" s="1"/>
  <c r="H193" i="23"/>
  <c r="N193" i="23" s="1"/>
  <c r="C219" i="23" s="1"/>
  <c r="D192" i="23"/>
  <c r="H192" i="23" s="1"/>
  <c r="M191" i="23"/>
  <c r="J191" i="23"/>
  <c r="I191" i="23"/>
  <c r="H191" i="23"/>
  <c r="H190" i="23"/>
  <c r="D190" i="23"/>
  <c r="H189" i="23"/>
  <c r="M188" i="23"/>
  <c r="J188" i="23"/>
  <c r="I188" i="23"/>
  <c r="H188" i="23"/>
  <c r="H187" i="23"/>
  <c r="H186" i="23"/>
  <c r="H185" i="23"/>
  <c r="M184" i="23"/>
  <c r="J184" i="23"/>
  <c r="I184" i="23"/>
  <c r="H184" i="23"/>
  <c r="N184" i="23" s="1"/>
  <c r="C210" i="23" s="1"/>
  <c r="H183" i="23"/>
  <c r="H182" i="23"/>
  <c r="J181" i="23"/>
  <c r="I181" i="23"/>
  <c r="M181" i="23" s="1"/>
  <c r="H181" i="23"/>
  <c r="N181" i="23" s="1"/>
  <c r="C207" i="23" s="1"/>
  <c r="C181" i="23"/>
  <c r="H180" i="23"/>
  <c r="D180" i="23"/>
  <c r="D179" i="23"/>
  <c r="H179" i="23" s="1"/>
  <c r="J178" i="23"/>
  <c r="I178" i="23"/>
  <c r="M178" i="23" s="1"/>
  <c r="N178" i="23" s="1"/>
  <c r="C204" i="23" s="1"/>
  <c r="H178" i="23"/>
  <c r="D177" i="23"/>
  <c r="H177" i="23" s="1"/>
  <c r="H176" i="23"/>
  <c r="J175" i="23"/>
  <c r="I175" i="23"/>
  <c r="M175" i="23" s="1"/>
  <c r="H175" i="23"/>
  <c r="N175" i="23" s="1"/>
  <c r="C201" i="23" s="1"/>
  <c r="C175" i="23"/>
  <c r="D174" i="23"/>
  <c r="L169" i="23"/>
  <c r="K169" i="23"/>
  <c r="G169" i="23"/>
  <c r="F169" i="23"/>
  <c r="E169" i="23"/>
  <c r="H168" i="23"/>
  <c r="J167" i="23"/>
  <c r="M167" i="23" s="1"/>
  <c r="N167" i="23" s="1"/>
  <c r="C193" i="23" s="1"/>
  <c r="I167" i="23"/>
  <c r="H167" i="23"/>
  <c r="D166" i="23"/>
  <c r="H166" i="23" s="1"/>
  <c r="J165" i="23"/>
  <c r="M165" i="23" s="1"/>
  <c r="N165" i="23" s="1"/>
  <c r="C191" i="23" s="1"/>
  <c r="I165" i="23"/>
  <c r="H165" i="23"/>
  <c r="H164" i="23"/>
  <c r="D164" i="23"/>
  <c r="H163" i="23"/>
  <c r="J162" i="23"/>
  <c r="M162" i="23" s="1"/>
  <c r="N162" i="23" s="1"/>
  <c r="C188" i="23" s="1"/>
  <c r="I162" i="23"/>
  <c r="H162" i="23"/>
  <c r="D161" i="23"/>
  <c r="H161" i="23" s="1"/>
  <c r="H160" i="23"/>
  <c r="H159" i="23"/>
  <c r="M158" i="23"/>
  <c r="N158" i="23" s="1"/>
  <c r="C184" i="23" s="1"/>
  <c r="J158" i="23"/>
  <c r="I158" i="23"/>
  <c r="H158" i="23"/>
  <c r="H157" i="23"/>
  <c r="H156" i="23"/>
  <c r="M155" i="23"/>
  <c r="J155" i="23"/>
  <c r="I155" i="23"/>
  <c r="H155" i="23"/>
  <c r="N155" i="23" s="1"/>
  <c r="D154" i="23"/>
  <c r="H154" i="23" s="1"/>
  <c r="D153" i="23"/>
  <c r="H153" i="23" s="1"/>
  <c r="M152" i="23"/>
  <c r="J152" i="23"/>
  <c r="I152" i="23"/>
  <c r="H152" i="23"/>
  <c r="H151" i="23"/>
  <c r="D151" i="23"/>
  <c r="H150" i="23"/>
  <c r="J149" i="23"/>
  <c r="I149" i="23"/>
  <c r="M149" i="23" s="1"/>
  <c r="H149" i="23"/>
  <c r="N149" i="23" s="1"/>
  <c r="D148" i="23"/>
  <c r="L143" i="23"/>
  <c r="K143" i="23"/>
  <c r="G143" i="23"/>
  <c r="F143" i="23"/>
  <c r="E143" i="23"/>
  <c r="H142" i="23"/>
  <c r="J141" i="23"/>
  <c r="I141" i="23"/>
  <c r="M141" i="23" s="1"/>
  <c r="H141" i="23"/>
  <c r="N141" i="23" s="1"/>
  <c r="C167" i="23" s="1"/>
  <c r="C141" i="23"/>
  <c r="D140" i="23"/>
  <c r="H140" i="23" s="1"/>
  <c r="J139" i="23"/>
  <c r="I139" i="23"/>
  <c r="M139" i="23" s="1"/>
  <c r="H139" i="23"/>
  <c r="D138" i="23"/>
  <c r="H138" i="23" s="1"/>
  <c r="H137" i="23"/>
  <c r="H136" i="23"/>
  <c r="H135" i="23"/>
  <c r="J134" i="23"/>
  <c r="M134" i="23" s="1"/>
  <c r="N134" i="23" s="1"/>
  <c r="C158" i="23" s="1"/>
  <c r="I134" i="23"/>
  <c r="H134" i="23"/>
  <c r="H133" i="23"/>
  <c r="H132" i="23"/>
  <c r="N131" i="23"/>
  <c r="C155" i="23" s="1"/>
  <c r="J131" i="23"/>
  <c r="I131" i="23"/>
  <c r="M131" i="23" s="1"/>
  <c r="H131" i="23"/>
  <c r="H130" i="23"/>
  <c r="D130" i="23"/>
  <c r="D129" i="23"/>
  <c r="H129" i="23" s="1"/>
  <c r="N128" i="23"/>
  <c r="C152" i="23" s="1"/>
  <c r="M128" i="23"/>
  <c r="J128" i="23"/>
  <c r="I128" i="23"/>
  <c r="H128" i="23"/>
  <c r="H127" i="23"/>
  <c r="D127" i="23"/>
  <c r="H126" i="23"/>
  <c r="J125" i="23"/>
  <c r="I125" i="23"/>
  <c r="M125" i="23" s="1"/>
  <c r="N125" i="23" s="1"/>
  <c r="C149" i="23" s="1"/>
  <c r="H125" i="23"/>
  <c r="D124" i="23"/>
  <c r="L119" i="23"/>
  <c r="K119" i="23"/>
  <c r="G119" i="23"/>
  <c r="F119" i="23"/>
  <c r="E119" i="23"/>
  <c r="D119" i="23"/>
  <c r="H118" i="23"/>
  <c r="M117" i="23"/>
  <c r="J117" i="23"/>
  <c r="I117" i="23"/>
  <c r="H117" i="23"/>
  <c r="N117" i="23" s="1"/>
  <c r="H116" i="23"/>
  <c r="M115" i="23"/>
  <c r="N115" i="23" s="1"/>
  <c r="C139" i="23" s="1"/>
  <c r="J115" i="23"/>
  <c r="I115" i="23"/>
  <c r="H115" i="23"/>
  <c r="D114" i="23"/>
  <c r="H114" i="23" s="1"/>
  <c r="H113" i="23"/>
  <c r="H112" i="23"/>
  <c r="H111" i="23"/>
  <c r="J110" i="23"/>
  <c r="I110" i="23"/>
  <c r="H110" i="23"/>
  <c r="H109" i="23"/>
  <c r="H108" i="23"/>
  <c r="J107" i="23"/>
  <c r="M107" i="23" s="1"/>
  <c r="I107" i="23"/>
  <c r="H107" i="23"/>
  <c r="N107" i="23" s="1"/>
  <c r="C131" i="23" s="1"/>
  <c r="H106" i="23"/>
  <c r="H105" i="23"/>
  <c r="D105" i="23"/>
  <c r="N104" i="23"/>
  <c r="C128" i="23" s="1"/>
  <c r="J104" i="23"/>
  <c r="I104" i="23"/>
  <c r="M104" i="23" s="1"/>
  <c r="H104" i="23"/>
  <c r="D103" i="23"/>
  <c r="H103" i="23" s="1"/>
  <c r="H102" i="23"/>
  <c r="J101" i="23"/>
  <c r="I101" i="23"/>
  <c r="M101" i="23" s="1"/>
  <c r="H101" i="23"/>
  <c r="D100" i="23"/>
  <c r="H100" i="23" s="1"/>
  <c r="L95" i="23"/>
  <c r="K95" i="23"/>
  <c r="G95" i="23"/>
  <c r="F95" i="23"/>
  <c r="E95" i="23"/>
  <c r="D95" i="23"/>
  <c r="I94" i="23"/>
  <c r="M94" i="23" s="1"/>
  <c r="N94" i="23" s="1"/>
  <c r="C118" i="23" s="1"/>
  <c r="I118" i="23" s="1"/>
  <c r="H94" i="23"/>
  <c r="J93" i="23"/>
  <c r="I93" i="23"/>
  <c r="M93" i="23" s="1"/>
  <c r="H93" i="23"/>
  <c r="H92" i="23"/>
  <c r="J91" i="23"/>
  <c r="I91" i="23"/>
  <c r="M91" i="23" s="1"/>
  <c r="H91" i="23"/>
  <c r="N91" i="23" s="1"/>
  <c r="C115" i="23" s="1"/>
  <c r="H90" i="23"/>
  <c r="H89" i="23"/>
  <c r="H88" i="23"/>
  <c r="H87" i="23"/>
  <c r="J86" i="23"/>
  <c r="I86" i="23"/>
  <c r="M86" i="23" s="1"/>
  <c r="H86" i="23"/>
  <c r="N86" i="23" s="1"/>
  <c r="C110" i="23" s="1"/>
  <c r="C86" i="23"/>
  <c r="H85" i="23"/>
  <c r="H84" i="23"/>
  <c r="J83" i="23"/>
  <c r="I83" i="23"/>
  <c r="H83" i="23"/>
  <c r="H82" i="23"/>
  <c r="H81" i="23"/>
  <c r="J80" i="23"/>
  <c r="I80" i="23"/>
  <c r="H80" i="23"/>
  <c r="H79" i="23"/>
  <c r="H78" i="23"/>
  <c r="J77" i="23"/>
  <c r="I77" i="23"/>
  <c r="H77" i="23"/>
  <c r="H76" i="23"/>
  <c r="L71" i="23"/>
  <c r="K71" i="23"/>
  <c r="G71" i="23"/>
  <c r="F71" i="23"/>
  <c r="E71" i="23"/>
  <c r="D71" i="23"/>
  <c r="I70" i="23"/>
  <c r="M70" i="23" s="1"/>
  <c r="N70" i="23" s="1"/>
  <c r="C94" i="23" s="1"/>
  <c r="H70" i="23"/>
  <c r="J69" i="23"/>
  <c r="I69" i="23"/>
  <c r="H69" i="23"/>
  <c r="H68" i="23"/>
  <c r="J67" i="23"/>
  <c r="I67" i="23"/>
  <c r="M67" i="23" s="1"/>
  <c r="H67" i="23"/>
  <c r="H66" i="23"/>
  <c r="H65" i="23"/>
  <c r="H64" i="23"/>
  <c r="H63" i="23"/>
  <c r="J62" i="23"/>
  <c r="I62" i="23"/>
  <c r="M62" i="23" s="1"/>
  <c r="H62" i="23"/>
  <c r="N62" i="23" s="1"/>
  <c r="H61" i="23"/>
  <c r="H60" i="23"/>
  <c r="J59" i="23"/>
  <c r="I59" i="23"/>
  <c r="M59" i="23" s="1"/>
  <c r="H59" i="23"/>
  <c r="H58" i="23"/>
  <c r="H57" i="23"/>
  <c r="N56" i="23"/>
  <c r="C80" i="23" s="1"/>
  <c r="M56" i="23"/>
  <c r="J56" i="23"/>
  <c r="I56" i="23"/>
  <c r="H56" i="23"/>
  <c r="H55" i="23"/>
  <c r="H54" i="23"/>
  <c r="J53" i="23"/>
  <c r="I53" i="23"/>
  <c r="M53" i="23" s="1"/>
  <c r="H53" i="23"/>
  <c r="H52" i="23"/>
  <c r="L47" i="23"/>
  <c r="K47" i="23"/>
  <c r="G47" i="23"/>
  <c r="F47" i="23"/>
  <c r="E47" i="23"/>
  <c r="D47" i="23"/>
  <c r="H46" i="23"/>
  <c r="N45" i="23"/>
  <c r="C69" i="23" s="1"/>
  <c r="M45" i="23"/>
  <c r="J45" i="23"/>
  <c r="I45" i="23"/>
  <c r="H45" i="23"/>
  <c r="H44" i="23"/>
  <c r="J43" i="23"/>
  <c r="I43" i="23"/>
  <c r="M43" i="23" s="1"/>
  <c r="H43" i="23"/>
  <c r="H42" i="23"/>
  <c r="H41" i="23"/>
  <c r="H40" i="23"/>
  <c r="H39" i="23"/>
  <c r="J38" i="23"/>
  <c r="I38" i="23"/>
  <c r="M38" i="23" s="1"/>
  <c r="H38" i="23"/>
  <c r="H37" i="23"/>
  <c r="H36" i="23"/>
  <c r="J35" i="23"/>
  <c r="I35" i="23"/>
  <c r="H35" i="23"/>
  <c r="H34" i="23"/>
  <c r="H33" i="23"/>
  <c r="J32" i="23"/>
  <c r="I32" i="23"/>
  <c r="H32" i="23"/>
  <c r="H31" i="23"/>
  <c r="H30" i="23"/>
  <c r="J29" i="23"/>
  <c r="I29" i="23"/>
  <c r="M29" i="23" s="1"/>
  <c r="H29" i="23"/>
  <c r="N29" i="23" s="1"/>
  <c r="C53" i="23" s="1"/>
  <c r="H28" i="23"/>
  <c r="L23" i="23"/>
  <c r="K23" i="23"/>
  <c r="G23" i="23"/>
  <c r="F23" i="23"/>
  <c r="E23" i="23"/>
  <c r="C23" i="23"/>
  <c r="I22" i="23"/>
  <c r="M21" i="23"/>
  <c r="J21" i="23"/>
  <c r="I21" i="23"/>
  <c r="H21" i="23"/>
  <c r="H20" i="23"/>
  <c r="I20" i="23" s="1"/>
  <c r="M20" i="23" s="1"/>
  <c r="D20" i="23"/>
  <c r="J19" i="23"/>
  <c r="I19" i="23"/>
  <c r="M19" i="23" s="1"/>
  <c r="H19" i="23"/>
  <c r="N19" i="23" s="1"/>
  <c r="C43" i="23" s="1"/>
  <c r="I18" i="23"/>
  <c r="H18" i="23"/>
  <c r="D18" i="23"/>
  <c r="H17" i="23"/>
  <c r="H16" i="23"/>
  <c r="H15" i="23"/>
  <c r="I15" i="23" s="1"/>
  <c r="M15" i="23" s="1"/>
  <c r="J14" i="23"/>
  <c r="M14" i="23" s="1"/>
  <c r="I14" i="23"/>
  <c r="H14" i="23"/>
  <c r="D13" i="23"/>
  <c r="H13" i="23" s="1"/>
  <c r="H12" i="23"/>
  <c r="J11" i="23"/>
  <c r="I11" i="23"/>
  <c r="M11" i="23" s="1"/>
  <c r="H11" i="23"/>
  <c r="N11" i="23" s="1"/>
  <c r="C35" i="23" s="1"/>
  <c r="D10" i="23"/>
  <c r="H10" i="23" s="1"/>
  <c r="I10" i="23" s="1"/>
  <c r="M10" i="23" s="1"/>
  <c r="H9" i="23"/>
  <c r="M8" i="23"/>
  <c r="N8" i="23" s="1"/>
  <c r="C32" i="23" s="1"/>
  <c r="J8" i="23"/>
  <c r="I8" i="23"/>
  <c r="H8" i="23"/>
  <c r="D7" i="23"/>
  <c r="H7" i="23" s="1"/>
  <c r="H6" i="23"/>
  <c r="J5" i="23"/>
  <c r="M5" i="23" s="1"/>
  <c r="I5" i="23"/>
  <c r="H5" i="23"/>
  <c r="N5" i="23" s="1"/>
  <c r="C29" i="23" s="1"/>
  <c r="D4" i="23"/>
  <c r="H4" i="23" s="1"/>
  <c r="L253" i="22"/>
  <c r="K253" i="22"/>
  <c r="G253" i="22"/>
  <c r="F253" i="22"/>
  <c r="D253" i="22"/>
  <c r="H252" i="22"/>
  <c r="J251" i="22"/>
  <c r="J249" i="22"/>
  <c r="H248" i="22"/>
  <c r="M247" i="22"/>
  <c r="J247" i="22"/>
  <c r="I247" i="22"/>
  <c r="H243" i="22"/>
  <c r="N242" i="22"/>
  <c r="J242" i="22"/>
  <c r="I242" i="22"/>
  <c r="M242" i="22" s="1"/>
  <c r="H242" i="22"/>
  <c r="H241" i="22"/>
  <c r="H240" i="22"/>
  <c r="J239" i="22"/>
  <c r="H239" i="22"/>
  <c r="D232" i="23"/>
  <c r="H232" i="23" s="1"/>
  <c r="J237" i="22"/>
  <c r="I237" i="22"/>
  <c r="H236" i="22"/>
  <c r="J235" i="22"/>
  <c r="H234" i="22"/>
  <c r="H233" i="22"/>
  <c r="J232" i="22"/>
  <c r="I232" i="22"/>
  <c r="M232" i="22" s="1"/>
  <c r="N232" i="22" s="1"/>
  <c r="H232" i="22"/>
  <c r="H231" i="22"/>
  <c r="L226" i="22"/>
  <c r="K226" i="22"/>
  <c r="G226" i="22"/>
  <c r="F226" i="22"/>
  <c r="D226" i="22"/>
  <c r="H225" i="22"/>
  <c r="J224" i="22"/>
  <c r="I224" i="22"/>
  <c r="M224" i="22" s="1"/>
  <c r="N224" i="22" s="1"/>
  <c r="J222" i="22"/>
  <c r="H221" i="22"/>
  <c r="M220" i="22"/>
  <c r="N220" i="22" s="1"/>
  <c r="J220" i="22"/>
  <c r="I220" i="22"/>
  <c r="H216" i="22"/>
  <c r="J215" i="22"/>
  <c r="I215" i="22"/>
  <c r="M215" i="22" s="1"/>
  <c r="N215" i="22" s="1"/>
  <c r="H215" i="22"/>
  <c r="H214" i="22"/>
  <c r="H213" i="22"/>
  <c r="J212" i="22"/>
  <c r="H212" i="22"/>
  <c r="D206" i="23"/>
  <c r="H206" i="23" s="1"/>
  <c r="J210" i="22"/>
  <c r="D205" i="23"/>
  <c r="H205" i="23" s="1"/>
  <c r="H209" i="22"/>
  <c r="J208" i="22"/>
  <c r="H207" i="22"/>
  <c r="H206" i="22"/>
  <c r="J205" i="22"/>
  <c r="D200" i="23"/>
  <c r="H204" i="22"/>
  <c r="L199" i="22"/>
  <c r="K199" i="22"/>
  <c r="G199" i="22"/>
  <c r="F199" i="22"/>
  <c r="E199" i="22"/>
  <c r="D199" i="22"/>
  <c r="H198" i="22"/>
  <c r="M197" i="22"/>
  <c r="N197" i="22" s="1"/>
  <c r="J197" i="22"/>
  <c r="I197" i="22"/>
  <c r="H197" i="22"/>
  <c r="J195" i="22"/>
  <c r="I195" i="22"/>
  <c r="M195" i="22" s="1"/>
  <c r="N195" i="22" s="1"/>
  <c r="H195" i="22"/>
  <c r="H194" i="22"/>
  <c r="J193" i="22"/>
  <c r="I193" i="22"/>
  <c r="H189" i="22"/>
  <c r="N188" i="22"/>
  <c r="M188" i="22"/>
  <c r="J188" i="22"/>
  <c r="I188" i="22"/>
  <c r="H188" i="22"/>
  <c r="H187" i="22"/>
  <c r="H186" i="22"/>
  <c r="J185" i="22"/>
  <c r="I185" i="22"/>
  <c r="M185" i="22" s="1"/>
  <c r="H185" i="22"/>
  <c r="J183" i="22"/>
  <c r="I183" i="22"/>
  <c r="H182" i="22"/>
  <c r="J181" i="22"/>
  <c r="I181" i="22"/>
  <c r="M181" i="22" s="1"/>
  <c r="N181" i="22" s="1"/>
  <c r="H181" i="22"/>
  <c r="H180" i="22"/>
  <c r="H179" i="22"/>
  <c r="M178" i="22"/>
  <c r="N178" i="22" s="1"/>
  <c r="J178" i="22"/>
  <c r="I178" i="22"/>
  <c r="H178" i="22"/>
  <c r="H177" i="22"/>
  <c r="L172" i="22"/>
  <c r="K172" i="22"/>
  <c r="G172" i="22"/>
  <c r="F172" i="22"/>
  <c r="E172" i="22"/>
  <c r="D172" i="22"/>
  <c r="H171" i="22"/>
  <c r="J170" i="22"/>
  <c r="M170" i="22" s="1"/>
  <c r="N170" i="22" s="1"/>
  <c r="I170" i="22"/>
  <c r="H170" i="22"/>
  <c r="J168" i="22"/>
  <c r="I168" i="22"/>
  <c r="M168" i="22" s="1"/>
  <c r="N168" i="22" s="1"/>
  <c r="H168" i="22"/>
  <c r="H167" i="22"/>
  <c r="J166" i="22"/>
  <c r="I166" i="22"/>
  <c r="M166" i="22" s="1"/>
  <c r="I165" i="22"/>
  <c r="H162" i="22"/>
  <c r="M161" i="22"/>
  <c r="N161" i="22" s="1"/>
  <c r="J161" i="22"/>
  <c r="I161" i="22"/>
  <c r="H161" i="22"/>
  <c r="H160" i="22"/>
  <c r="H159" i="22"/>
  <c r="J158" i="22"/>
  <c r="M158" i="22" s="1"/>
  <c r="I158" i="22"/>
  <c r="H158" i="22"/>
  <c r="J156" i="22"/>
  <c r="I156" i="22"/>
  <c r="M156" i="22" s="1"/>
  <c r="N156" i="22" s="1"/>
  <c r="H155" i="22"/>
  <c r="J154" i="22"/>
  <c r="I154" i="22"/>
  <c r="M154" i="22" s="1"/>
  <c r="N154" i="22" s="1"/>
  <c r="H154" i="22"/>
  <c r="H153" i="22"/>
  <c r="H152" i="22"/>
  <c r="M151" i="22"/>
  <c r="N151" i="22" s="1"/>
  <c r="J151" i="22"/>
  <c r="I151" i="22"/>
  <c r="H151" i="22"/>
  <c r="H150" i="22"/>
  <c r="L145" i="22"/>
  <c r="K145" i="22"/>
  <c r="G145" i="22"/>
  <c r="F145" i="22"/>
  <c r="E145" i="22"/>
  <c r="D145" i="22"/>
  <c r="H144" i="22"/>
  <c r="J143" i="22"/>
  <c r="I143" i="22"/>
  <c r="M143" i="22" s="1"/>
  <c r="N143" i="22" s="1"/>
  <c r="H143" i="22"/>
  <c r="J141" i="22"/>
  <c r="I141" i="22"/>
  <c r="M141" i="22" s="1"/>
  <c r="N141" i="22" s="1"/>
  <c r="H141" i="22"/>
  <c r="H140" i="22"/>
  <c r="H137" i="22"/>
  <c r="J136" i="22"/>
  <c r="I136" i="22"/>
  <c r="M136" i="22" s="1"/>
  <c r="N136" i="22" s="1"/>
  <c r="H136" i="22"/>
  <c r="H135" i="22"/>
  <c r="H134" i="22"/>
  <c r="J133" i="22"/>
  <c r="I133" i="22"/>
  <c r="M133" i="22" s="1"/>
  <c r="H133" i="22"/>
  <c r="J131" i="22"/>
  <c r="I131" i="22"/>
  <c r="H130" i="22"/>
  <c r="J129" i="22"/>
  <c r="I129" i="22"/>
  <c r="M129" i="22" s="1"/>
  <c r="N129" i="22" s="1"/>
  <c r="H128" i="22"/>
  <c r="H127" i="22"/>
  <c r="J126" i="22"/>
  <c r="M126" i="22" s="1"/>
  <c r="N126" i="22" s="1"/>
  <c r="I126" i="22"/>
  <c r="H126" i="22"/>
  <c r="H125" i="22"/>
  <c r="L120" i="22"/>
  <c r="K120" i="22"/>
  <c r="G120" i="22"/>
  <c r="F120" i="22"/>
  <c r="E120" i="22"/>
  <c r="D120" i="22"/>
  <c r="H119" i="22"/>
  <c r="J118" i="22"/>
  <c r="M118" i="22" s="1"/>
  <c r="N118" i="22" s="1"/>
  <c r="I118" i="22"/>
  <c r="H118" i="22"/>
  <c r="J116" i="22"/>
  <c r="I116" i="22"/>
  <c r="M116" i="22" s="1"/>
  <c r="N116" i="22" s="1"/>
  <c r="H116" i="22"/>
  <c r="H115" i="22"/>
  <c r="H112" i="22"/>
  <c r="J111" i="22"/>
  <c r="I111" i="22"/>
  <c r="M111" i="22" s="1"/>
  <c r="N111" i="22" s="1"/>
  <c r="H111" i="22"/>
  <c r="H110" i="22"/>
  <c r="H109" i="22"/>
  <c r="J108" i="22"/>
  <c r="I108" i="22"/>
  <c r="M108" i="22" s="1"/>
  <c r="H108" i="22"/>
  <c r="J106" i="22"/>
  <c r="I106" i="22"/>
  <c r="H105" i="22"/>
  <c r="J104" i="22"/>
  <c r="I104" i="22"/>
  <c r="M104" i="22" s="1"/>
  <c r="N104" i="22" s="1"/>
  <c r="H104" i="22"/>
  <c r="H103" i="22"/>
  <c r="H102" i="22"/>
  <c r="M101" i="22"/>
  <c r="N101" i="22" s="1"/>
  <c r="J101" i="22"/>
  <c r="I101" i="22"/>
  <c r="H101" i="22"/>
  <c r="H100" i="22"/>
  <c r="L95" i="22"/>
  <c r="K95" i="22"/>
  <c r="G95" i="22"/>
  <c r="F95" i="22"/>
  <c r="E95" i="22"/>
  <c r="D95" i="22"/>
  <c r="H94" i="22"/>
  <c r="M93" i="22"/>
  <c r="N93" i="22" s="1"/>
  <c r="J93" i="22"/>
  <c r="I93" i="22"/>
  <c r="H93" i="22"/>
  <c r="N91" i="22"/>
  <c r="M91" i="22"/>
  <c r="J91" i="22"/>
  <c r="I91" i="22"/>
  <c r="H91" i="22"/>
  <c r="H90" i="22"/>
  <c r="H87" i="22"/>
  <c r="J86" i="22"/>
  <c r="I86" i="22"/>
  <c r="H86" i="22"/>
  <c r="H85" i="22"/>
  <c r="H84" i="22"/>
  <c r="J83" i="22"/>
  <c r="H83" i="22"/>
  <c r="M82" i="22"/>
  <c r="N82" i="22" s="1"/>
  <c r="I82" i="22"/>
  <c r="H81" i="22"/>
  <c r="J80" i="22"/>
  <c r="I80" i="22"/>
  <c r="M80" i="22" s="1"/>
  <c r="N80" i="22" s="1"/>
  <c r="H80" i="22"/>
  <c r="H79" i="22"/>
  <c r="H78" i="22"/>
  <c r="J77" i="22"/>
  <c r="I77" i="22"/>
  <c r="M77" i="22" s="1"/>
  <c r="N77" i="22" s="1"/>
  <c r="H77" i="22"/>
  <c r="H76" i="22"/>
  <c r="L71" i="22"/>
  <c r="K71" i="22"/>
  <c r="G71" i="22"/>
  <c r="F71" i="22"/>
  <c r="E71" i="22"/>
  <c r="D71" i="22"/>
  <c r="M70" i="22"/>
  <c r="N70" i="22" s="1"/>
  <c r="C94" i="22" s="1"/>
  <c r="I94" i="22" s="1"/>
  <c r="I70" i="22"/>
  <c r="H70" i="22"/>
  <c r="J69" i="22"/>
  <c r="I69" i="22"/>
  <c r="M69" i="22" s="1"/>
  <c r="H69" i="22"/>
  <c r="J67" i="22"/>
  <c r="I67" i="22"/>
  <c r="M67" i="22" s="1"/>
  <c r="H67" i="22"/>
  <c r="H66" i="22"/>
  <c r="H63" i="22"/>
  <c r="J62" i="22"/>
  <c r="I62" i="22"/>
  <c r="M62" i="22" s="1"/>
  <c r="H62" i="22"/>
  <c r="H61" i="22"/>
  <c r="H60" i="22"/>
  <c r="M59" i="22"/>
  <c r="J59" i="22"/>
  <c r="I59" i="22"/>
  <c r="H59" i="22"/>
  <c r="H57" i="22"/>
  <c r="J56" i="22"/>
  <c r="I56" i="22"/>
  <c r="M56" i="22" s="1"/>
  <c r="H56" i="22"/>
  <c r="H55" i="22"/>
  <c r="H54" i="22"/>
  <c r="J53" i="22"/>
  <c r="M53" i="22" s="1"/>
  <c r="I53" i="22"/>
  <c r="H53" i="22"/>
  <c r="H52" i="22"/>
  <c r="L47" i="22"/>
  <c r="K47" i="22"/>
  <c r="G47" i="22"/>
  <c r="F47" i="22"/>
  <c r="E47" i="22"/>
  <c r="D47" i="22"/>
  <c r="H46" i="22"/>
  <c r="M45" i="22"/>
  <c r="J45" i="22"/>
  <c r="I45" i="22"/>
  <c r="H45" i="22"/>
  <c r="J43" i="22"/>
  <c r="I43" i="22"/>
  <c r="M43" i="22" s="1"/>
  <c r="H43" i="22"/>
  <c r="H42" i="22"/>
  <c r="H39" i="22"/>
  <c r="J38" i="22"/>
  <c r="I38" i="22"/>
  <c r="M38" i="22" s="1"/>
  <c r="H38" i="22"/>
  <c r="H37" i="22"/>
  <c r="H36" i="22"/>
  <c r="M35" i="22"/>
  <c r="J35" i="22"/>
  <c r="I35" i="22"/>
  <c r="H35" i="22"/>
  <c r="H33" i="22"/>
  <c r="J32" i="22"/>
  <c r="I32" i="22"/>
  <c r="M32" i="22" s="1"/>
  <c r="H32" i="22"/>
  <c r="H31" i="22"/>
  <c r="H30" i="22"/>
  <c r="H47" i="22" s="1"/>
  <c r="J29" i="22"/>
  <c r="I29" i="22"/>
  <c r="M29" i="22" s="1"/>
  <c r="H29" i="22"/>
  <c r="H28" i="22"/>
  <c r="L23" i="22"/>
  <c r="K23" i="22"/>
  <c r="G23" i="22"/>
  <c r="F23" i="22"/>
  <c r="E23" i="22"/>
  <c r="D23" i="22"/>
  <c r="C23" i="22"/>
  <c r="M22" i="22"/>
  <c r="I22" i="22"/>
  <c r="H22" i="22"/>
  <c r="J21" i="22"/>
  <c r="M21" i="22" s="1"/>
  <c r="N21" i="22" s="1"/>
  <c r="C45" i="22" s="1"/>
  <c r="I21" i="22"/>
  <c r="H20" i="22"/>
  <c r="J19" i="22"/>
  <c r="I19" i="22"/>
  <c r="I18" i="22"/>
  <c r="H18" i="22"/>
  <c r="H17" i="22"/>
  <c r="H16" i="22"/>
  <c r="I16" i="22" s="1"/>
  <c r="I15" i="22"/>
  <c r="M15" i="22" s="1"/>
  <c r="J14" i="22"/>
  <c r="M14" i="22" s="1"/>
  <c r="N14" i="22" s="1"/>
  <c r="C38" i="22" s="1"/>
  <c r="I14" i="22"/>
  <c r="H13" i="22"/>
  <c r="H23" i="22" s="1"/>
  <c r="I12" i="22"/>
  <c r="J11" i="22"/>
  <c r="M11" i="22" s="1"/>
  <c r="N11" i="22" s="1"/>
  <c r="C35" i="22" s="1"/>
  <c r="N35" i="22" s="1"/>
  <c r="C59" i="22" s="1"/>
  <c r="N59" i="22" s="1"/>
  <c r="I11" i="22"/>
  <c r="H10" i="22"/>
  <c r="H9" i="22"/>
  <c r="I9" i="22" s="1"/>
  <c r="J8" i="22"/>
  <c r="I8" i="22"/>
  <c r="H7" i="22"/>
  <c r="I6" i="22"/>
  <c r="H6" i="22"/>
  <c r="J5" i="22"/>
  <c r="I5" i="22"/>
  <c r="I4" i="22"/>
  <c r="M4" i="22" s="1"/>
  <c r="H4" i="22"/>
  <c r="E8" i="21"/>
  <c r="E9" i="21" s="1"/>
  <c r="E10" i="21" s="1"/>
  <c r="E11" i="21" s="1"/>
  <c r="E12" i="21" s="1"/>
  <c r="E13" i="21" s="1"/>
  <c r="E14" i="21" s="1"/>
  <c r="E15" i="21" s="1"/>
  <c r="E7" i="21"/>
  <c r="M237" i="22" l="1"/>
  <c r="N237" i="22" s="1"/>
  <c r="H23" i="23"/>
  <c r="I4" i="23"/>
  <c r="M94" i="22"/>
  <c r="N94" i="22" s="1"/>
  <c r="C119" i="22" s="1"/>
  <c r="I119" i="22" s="1"/>
  <c r="M118" i="23"/>
  <c r="N118" i="23" s="1"/>
  <c r="C142" i="23" s="1"/>
  <c r="I142" i="23" s="1"/>
  <c r="N38" i="22"/>
  <c r="C62" i="22" s="1"/>
  <c r="N62" i="22" s="1"/>
  <c r="N38" i="23"/>
  <c r="C62" i="23" s="1"/>
  <c r="N67" i="23"/>
  <c r="C91" i="23" s="1"/>
  <c r="N4" i="22"/>
  <c r="M5" i="22"/>
  <c r="N5" i="22" s="1"/>
  <c r="C29" i="22" s="1"/>
  <c r="N29" i="22" s="1"/>
  <c r="C53" i="22" s="1"/>
  <c r="N53" i="22" s="1"/>
  <c r="M183" i="22"/>
  <c r="N183" i="22" s="1"/>
  <c r="I212" i="22"/>
  <c r="M212" i="22" s="1"/>
  <c r="N101" i="23"/>
  <c r="C125" i="23" s="1"/>
  <c r="N93" i="23"/>
  <c r="C117" i="23" s="1"/>
  <c r="D23" i="23"/>
  <c r="M106" i="22"/>
  <c r="N106" i="22" s="1"/>
  <c r="H95" i="23"/>
  <c r="I161" i="23"/>
  <c r="M161" i="23" s="1"/>
  <c r="H124" i="23"/>
  <c r="D143" i="23"/>
  <c r="I13" i="22"/>
  <c r="M13" i="22" s="1"/>
  <c r="M18" i="23"/>
  <c r="N18" i="23" s="1"/>
  <c r="C42" i="23" s="1"/>
  <c r="I42" i="23" s="1"/>
  <c r="I9" i="23"/>
  <c r="M9" i="23" s="1"/>
  <c r="M131" i="22"/>
  <c r="N131" i="22" s="1"/>
  <c r="N193" i="22"/>
  <c r="I222" i="22"/>
  <c r="M222" i="22" s="1"/>
  <c r="N222" i="22" s="1"/>
  <c r="H222" i="22"/>
  <c r="D216" i="23"/>
  <c r="H216" i="23" s="1"/>
  <c r="N10" i="23"/>
  <c r="C34" i="23" s="1"/>
  <c r="I34" i="23" s="1"/>
  <c r="M34" i="23" s="1"/>
  <c r="I17" i="22"/>
  <c r="M17" i="22" s="1"/>
  <c r="H71" i="23"/>
  <c r="M18" i="22"/>
  <c r="N18" i="22" s="1"/>
  <c r="C42" i="22" s="1"/>
  <c r="I42" i="22" s="1"/>
  <c r="I12" i="23"/>
  <c r="M12" i="23" s="1"/>
  <c r="N19" i="22"/>
  <c r="C43" i="22" s="1"/>
  <c r="N43" i="22" s="1"/>
  <c r="C67" i="22" s="1"/>
  <c r="N67" i="22" s="1"/>
  <c r="N22" i="23"/>
  <c r="C46" i="23" s="1"/>
  <c r="I46" i="23" s="1"/>
  <c r="N53" i="23"/>
  <c r="C77" i="23" s="1"/>
  <c r="M9" i="22"/>
  <c r="N9" i="22"/>
  <c r="C33" i="22" s="1"/>
  <c r="I33" i="22" s="1"/>
  <c r="I20" i="22"/>
  <c r="M20" i="22" s="1"/>
  <c r="H145" i="22"/>
  <c r="N34" i="23"/>
  <c r="C58" i="23" s="1"/>
  <c r="I58" i="23" s="1"/>
  <c r="M58" i="23" s="1"/>
  <c r="N45" i="22"/>
  <c r="C69" i="22" s="1"/>
  <c r="N69" i="22" s="1"/>
  <c r="H249" i="22"/>
  <c r="D242" i="23"/>
  <c r="H242" i="23" s="1"/>
  <c r="I249" i="22"/>
  <c r="M249" i="22" s="1"/>
  <c r="N249" i="22" s="1"/>
  <c r="M12" i="22"/>
  <c r="N12" i="22" s="1"/>
  <c r="C36" i="22" s="1"/>
  <c r="I36" i="22" s="1"/>
  <c r="H47" i="23"/>
  <c r="I13" i="23"/>
  <c r="M13" i="23" s="1"/>
  <c r="M80" i="23"/>
  <c r="N80" i="23" s="1"/>
  <c r="C104" i="23" s="1"/>
  <c r="M110" i="23"/>
  <c r="N110" i="23" s="1"/>
  <c r="C134" i="23" s="1"/>
  <c r="N230" i="23"/>
  <c r="N214" i="23"/>
  <c r="C240" i="23" s="1"/>
  <c r="N15" i="23"/>
  <c r="C39" i="23" s="1"/>
  <c r="I39" i="23" s="1"/>
  <c r="M39" i="23" s="1"/>
  <c r="H208" i="22"/>
  <c r="N208" i="22"/>
  <c r="D203" i="23"/>
  <c r="H203" i="23" s="1"/>
  <c r="I7" i="23"/>
  <c r="M7" i="23" s="1"/>
  <c r="I208" i="22"/>
  <c r="M208" i="22" s="1"/>
  <c r="D229" i="23"/>
  <c r="H229" i="23" s="1"/>
  <c r="M193" i="22"/>
  <c r="H235" i="22"/>
  <c r="H253" i="22" s="1"/>
  <c r="D244" i="23"/>
  <c r="H244" i="23" s="1"/>
  <c r="I251" i="22"/>
  <c r="M251" i="22" s="1"/>
  <c r="N251" i="22" s="1"/>
  <c r="H251" i="22"/>
  <c r="I16" i="23"/>
  <c r="M16" i="23" s="1"/>
  <c r="N16" i="23"/>
  <c r="C40" i="23" s="1"/>
  <c r="I40" i="23" s="1"/>
  <c r="M40" i="23" s="1"/>
  <c r="I10" i="22"/>
  <c r="M10" i="22" s="1"/>
  <c r="H120" i="22"/>
  <c r="I235" i="22"/>
  <c r="M235" i="22" s="1"/>
  <c r="N235" i="22" s="1"/>
  <c r="M19" i="22"/>
  <c r="H172" i="22"/>
  <c r="H199" i="22"/>
  <c r="E226" i="22"/>
  <c r="N17" i="23"/>
  <c r="C41" i="23" s="1"/>
  <c r="I41" i="23" s="1"/>
  <c r="H119" i="23"/>
  <c r="M83" i="23"/>
  <c r="N83" i="23" s="1"/>
  <c r="C107" i="23" s="1"/>
  <c r="H226" i="23"/>
  <c r="M77" i="23"/>
  <c r="N77" i="23"/>
  <c r="C101" i="23" s="1"/>
  <c r="I7" i="22"/>
  <c r="M7" i="22" s="1"/>
  <c r="N166" i="22"/>
  <c r="I239" i="22"/>
  <c r="M239" i="22" s="1"/>
  <c r="M69" i="23"/>
  <c r="N69" i="23" s="1"/>
  <c r="C93" i="23" s="1"/>
  <c r="M165" i="22"/>
  <c r="N165" i="22" s="1"/>
  <c r="C192" i="22" s="1"/>
  <c r="I192" i="22" s="1"/>
  <c r="H71" i="22"/>
  <c r="N219" i="23"/>
  <c r="C245" i="23" s="1"/>
  <c r="N152" i="23"/>
  <c r="C178" i="23" s="1"/>
  <c r="M16" i="22"/>
  <c r="N16" i="22" s="1"/>
  <c r="C40" i="22" s="1"/>
  <c r="I40" i="22" s="1"/>
  <c r="M8" i="22"/>
  <c r="N8" i="22" s="1"/>
  <c r="C32" i="22" s="1"/>
  <c r="N32" i="22" s="1"/>
  <c r="C56" i="22" s="1"/>
  <c r="N56" i="22" s="1"/>
  <c r="H95" i="22"/>
  <c r="N43" i="23"/>
  <c r="C67" i="23" s="1"/>
  <c r="N191" i="23"/>
  <c r="C217" i="23" s="1"/>
  <c r="H200" i="23"/>
  <c r="N59" i="23"/>
  <c r="C83" i="23" s="1"/>
  <c r="I210" i="22"/>
  <c r="N20" i="23"/>
  <c r="C44" i="23" s="1"/>
  <c r="I44" i="23" s="1"/>
  <c r="M6" i="22"/>
  <c r="N6" i="22" s="1"/>
  <c r="C30" i="22" s="1"/>
  <c r="I30" i="22" s="1"/>
  <c r="I205" i="22"/>
  <c r="M205" i="22" s="1"/>
  <c r="N205" i="22" s="1"/>
  <c r="N14" i="23"/>
  <c r="C38" i="23" s="1"/>
  <c r="M35" i="23"/>
  <c r="N35" i="23" s="1"/>
  <c r="C59" i="23" s="1"/>
  <c r="D169" i="23"/>
  <c r="N217" i="23"/>
  <c r="C243" i="23" s="1"/>
  <c r="H205" i="22"/>
  <c r="N204" i="23"/>
  <c r="C230" i="23" s="1"/>
  <c r="N21" i="23"/>
  <c r="C45" i="23" s="1"/>
  <c r="H148" i="23"/>
  <c r="M217" i="23"/>
  <c r="H224" i="22"/>
  <c r="I17" i="23"/>
  <c r="M17" i="23" s="1"/>
  <c r="M22" i="23"/>
  <c r="D195" i="23"/>
  <c r="H174" i="23"/>
  <c r="N188" i="23"/>
  <c r="C214" i="23" s="1"/>
  <c r="N15" i="22"/>
  <c r="C39" i="22" s="1"/>
  <c r="I39" i="22" s="1"/>
  <c r="N22" i="22"/>
  <c r="C46" i="22" s="1"/>
  <c r="I46" i="22" s="1"/>
  <c r="E253" i="22"/>
  <c r="N247" i="22"/>
  <c r="I6" i="23"/>
  <c r="M6" i="23" s="1"/>
  <c r="N139" i="23"/>
  <c r="C165" i="23" s="1"/>
  <c r="M32" i="23"/>
  <c r="N32" i="23" s="1"/>
  <c r="C56" i="23" s="1"/>
  <c r="M86" i="22"/>
  <c r="N86" i="22" s="1"/>
  <c r="N40" i="22" l="1"/>
  <c r="C64" i="22" s="1"/>
  <c r="I64" i="22" s="1"/>
  <c r="M40" i="22"/>
  <c r="M42" i="23"/>
  <c r="N42" i="23"/>
  <c r="C66" i="23" s="1"/>
  <c r="I66" i="23" s="1"/>
  <c r="M192" i="22"/>
  <c r="N192" i="22" s="1"/>
  <c r="C219" i="22" s="1"/>
  <c r="I219" i="22" s="1"/>
  <c r="M42" i="22"/>
  <c r="N42" i="22"/>
  <c r="C66" i="22" s="1"/>
  <c r="I66" i="22" s="1"/>
  <c r="M30" i="22"/>
  <c r="N30" i="22"/>
  <c r="C54" i="22" s="1"/>
  <c r="I54" i="22" s="1"/>
  <c r="M142" i="23"/>
  <c r="N142" i="23" s="1"/>
  <c r="C168" i="23" s="1"/>
  <c r="I168" i="23" s="1"/>
  <c r="M119" i="22"/>
  <c r="N119" i="22" s="1"/>
  <c r="C144" i="22" s="1"/>
  <c r="I144" i="22" s="1"/>
  <c r="N4" i="23"/>
  <c r="M36" i="22"/>
  <c r="N36" i="22"/>
  <c r="C60" i="22" s="1"/>
  <c r="I60" i="22" s="1"/>
  <c r="N7" i="22"/>
  <c r="C31" i="22" s="1"/>
  <c r="I31" i="22" s="1"/>
  <c r="H226" i="22"/>
  <c r="N10" i="22"/>
  <c r="C34" i="22" s="1"/>
  <c r="I34" i="22" s="1"/>
  <c r="M44" i="23"/>
  <c r="N44" i="23" s="1"/>
  <c r="C68" i="23" s="1"/>
  <c r="I68" i="23" s="1"/>
  <c r="N40" i="23"/>
  <c r="C64" i="23" s="1"/>
  <c r="I64" i="23" s="1"/>
  <c r="M210" i="22"/>
  <c r="N210" i="22" s="1"/>
  <c r="N13" i="22"/>
  <c r="C37" i="22" s="1"/>
  <c r="I37" i="22" s="1"/>
  <c r="N161" i="23"/>
  <c r="C187" i="23" s="1"/>
  <c r="I187" i="23" s="1"/>
  <c r="H247" i="23"/>
  <c r="N12" i="23"/>
  <c r="C36" i="23" s="1"/>
  <c r="I36" i="23" s="1"/>
  <c r="M23" i="22"/>
  <c r="C6" i="21" s="1"/>
  <c r="N13" i="23"/>
  <c r="C37" i="23" s="1"/>
  <c r="I37" i="23" s="1"/>
  <c r="M39" i="22"/>
  <c r="N39" i="22" s="1"/>
  <c r="C63" i="22" s="1"/>
  <c r="I63" i="22" s="1"/>
  <c r="D247" i="23"/>
  <c r="N58" i="23"/>
  <c r="C82" i="23" s="1"/>
  <c r="I82" i="23" s="1"/>
  <c r="I23" i="22"/>
  <c r="H195" i="23"/>
  <c r="M33" i="22"/>
  <c r="N33" i="22" s="1"/>
  <c r="C57" i="22" s="1"/>
  <c r="I57" i="22" s="1"/>
  <c r="M41" i="23"/>
  <c r="N41" i="23" s="1"/>
  <c r="C65" i="23" s="1"/>
  <c r="I65" i="23" s="1"/>
  <c r="N20" i="22"/>
  <c r="C44" i="22" s="1"/>
  <c r="I44" i="22" s="1"/>
  <c r="N17" i="22"/>
  <c r="C41" i="22" s="1"/>
  <c r="I41" i="22" s="1"/>
  <c r="H143" i="23"/>
  <c r="I23" i="23"/>
  <c r="M4" i="23"/>
  <c r="M23" i="23" s="1"/>
  <c r="B6" i="21" s="1"/>
  <c r="H221" i="23"/>
  <c r="N7" i="23"/>
  <c r="C31" i="23" s="1"/>
  <c r="I31" i="23" s="1"/>
  <c r="N9" i="23"/>
  <c r="C33" i="23" s="1"/>
  <c r="I33" i="23" s="1"/>
  <c r="C28" i="22"/>
  <c r="M46" i="22"/>
  <c r="N46" i="22"/>
  <c r="N6" i="23"/>
  <c r="C30" i="23" s="1"/>
  <c r="I30" i="23" s="1"/>
  <c r="N39" i="23"/>
  <c r="C63" i="23" s="1"/>
  <c r="I63" i="23" s="1"/>
  <c r="D221" i="23"/>
  <c r="H169" i="23"/>
  <c r="N46" i="23"/>
  <c r="M46" i="23"/>
  <c r="M63" i="22" l="1"/>
  <c r="N63" i="22"/>
  <c r="C87" i="22" s="1"/>
  <c r="I87" i="22" s="1"/>
  <c r="M219" i="22"/>
  <c r="N219" i="22"/>
  <c r="C246" i="22" s="1"/>
  <c r="I246" i="22" s="1"/>
  <c r="M68" i="23"/>
  <c r="N68" i="23" s="1"/>
  <c r="C92" i="23" s="1"/>
  <c r="I92" i="23" s="1"/>
  <c r="M65" i="23"/>
  <c r="N65" i="23" s="1"/>
  <c r="C89" i="23" s="1"/>
  <c r="I89" i="23" s="1"/>
  <c r="M144" i="22"/>
  <c r="N144" i="22"/>
  <c r="C171" i="22" s="1"/>
  <c r="I171" i="22" s="1"/>
  <c r="M57" i="22"/>
  <c r="N57" i="22"/>
  <c r="C81" i="22" s="1"/>
  <c r="I81" i="22" s="1"/>
  <c r="M168" i="23"/>
  <c r="N168" i="23" s="1"/>
  <c r="C194" i="23" s="1"/>
  <c r="I194" i="23" s="1"/>
  <c r="M64" i="22"/>
  <c r="N64" i="22" s="1"/>
  <c r="C88" i="22" s="1"/>
  <c r="I88" i="22" s="1"/>
  <c r="M63" i="23"/>
  <c r="N63" i="23" s="1"/>
  <c r="C87" i="23" s="1"/>
  <c r="I87" i="23" s="1"/>
  <c r="M30" i="23"/>
  <c r="N30" i="23"/>
  <c r="C54" i="23" s="1"/>
  <c r="I54" i="23" s="1"/>
  <c r="M82" i="23"/>
  <c r="N82" i="23"/>
  <c r="C106" i="23" s="1"/>
  <c r="I106" i="23" s="1"/>
  <c r="C28" i="23"/>
  <c r="N23" i="23"/>
  <c r="N23" i="22"/>
  <c r="I28" i="22"/>
  <c r="C47" i="22"/>
  <c r="M33" i="23"/>
  <c r="N33" i="23"/>
  <c r="C57" i="23" s="1"/>
  <c r="I57" i="23" s="1"/>
  <c r="M37" i="23"/>
  <c r="N37" i="23"/>
  <c r="C61" i="23" s="1"/>
  <c r="I61" i="23" s="1"/>
  <c r="M31" i="23"/>
  <c r="N31" i="23" s="1"/>
  <c r="C55" i="23" s="1"/>
  <c r="I55" i="23" s="1"/>
  <c r="D6" i="21"/>
  <c r="F6" i="21" s="1"/>
  <c r="G6" i="21" s="1"/>
  <c r="M36" i="23"/>
  <c r="N36" i="23"/>
  <c r="C60" i="23" s="1"/>
  <c r="I60" i="23" s="1"/>
  <c r="M54" i="22"/>
  <c r="N54" i="22"/>
  <c r="C78" i="22" s="1"/>
  <c r="I78" i="22" s="1"/>
  <c r="M34" i="22"/>
  <c r="N34" i="22"/>
  <c r="C58" i="22" s="1"/>
  <c r="I58" i="22" s="1"/>
  <c r="M31" i="22"/>
  <c r="N31" i="22"/>
  <c r="C55" i="22" s="1"/>
  <c r="I55" i="22" s="1"/>
  <c r="M60" i="22"/>
  <c r="N60" i="22" s="1"/>
  <c r="C84" i="22" s="1"/>
  <c r="I84" i="22" s="1"/>
  <c r="M66" i="22"/>
  <c r="N66" i="22"/>
  <c r="C90" i="22" s="1"/>
  <c r="I90" i="22" s="1"/>
  <c r="M187" i="23"/>
  <c r="N187" i="23"/>
  <c r="C213" i="23" s="1"/>
  <c r="I213" i="23" s="1"/>
  <c r="M37" i="22"/>
  <c r="N37" i="22" s="1"/>
  <c r="C61" i="22" s="1"/>
  <c r="I61" i="22" s="1"/>
  <c r="M41" i="22"/>
  <c r="N41" i="22"/>
  <c r="C65" i="22" s="1"/>
  <c r="I65" i="22" s="1"/>
  <c r="M66" i="23"/>
  <c r="N66" i="23" s="1"/>
  <c r="C90" i="23" s="1"/>
  <c r="I90" i="23" s="1"/>
  <c r="M44" i="22"/>
  <c r="N44" i="22"/>
  <c r="C68" i="22" s="1"/>
  <c r="I68" i="22" s="1"/>
  <c r="M64" i="23"/>
  <c r="N64" i="23"/>
  <c r="C88" i="23" s="1"/>
  <c r="I88" i="23" s="1"/>
  <c r="M55" i="23" l="1"/>
  <c r="N55" i="23"/>
  <c r="C79" i="23" s="1"/>
  <c r="I79" i="23" s="1"/>
  <c r="M92" i="23"/>
  <c r="N92" i="23"/>
  <c r="C116" i="23" s="1"/>
  <c r="I116" i="23" s="1"/>
  <c r="M90" i="23"/>
  <c r="N90" i="23" s="1"/>
  <c r="C114" i="23" s="1"/>
  <c r="I114" i="23" s="1"/>
  <c r="M61" i="22"/>
  <c r="N61" i="22" s="1"/>
  <c r="C85" i="22" s="1"/>
  <c r="I85" i="22" s="1"/>
  <c r="M84" i="22"/>
  <c r="N84" i="22"/>
  <c r="C109" i="22" s="1"/>
  <c r="I109" i="22" s="1"/>
  <c r="M87" i="23"/>
  <c r="N87" i="23" s="1"/>
  <c r="C111" i="23" s="1"/>
  <c r="I111" i="23" s="1"/>
  <c r="M88" i="22"/>
  <c r="N88" i="22" s="1"/>
  <c r="C113" i="22" s="1"/>
  <c r="I113" i="22" s="1"/>
  <c r="M194" i="23"/>
  <c r="N194" i="23" s="1"/>
  <c r="C220" i="23" s="1"/>
  <c r="I220" i="23" s="1"/>
  <c r="M89" i="23"/>
  <c r="N89" i="23" s="1"/>
  <c r="C113" i="23" s="1"/>
  <c r="I113" i="23" s="1"/>
  <c r="M246" i="22"/>
  <c r="N246" i="22" s="1"/>
  <c r="M90" i="22"/>
  <c r="N90" i="22"/>
  <c r="C115" i="22" s="1"/>
  <c r="I115" i="22" s="1"/>
  <c r="M55" i="22"/>
  <c r="N55" i="22"/>
  <c r="C79" i="22" s="1"/>
  <c r="I79" i="22" s="1"/>
  <c r="M60" i="23"/>
  <c r="N60" i="23" s="1"/>
  <c r="C84" i="23" s="1"/>
  <c r="I84" i="23" s="1"/>
  <c r="M68" i="22"/>
  <c r="N68" i="22" s="1"/>
  <c r="C92" i="22" s="1"/>
  <c r="I92" i="22" s="1"/>
  <c r="M81" i="22"/>
  <c r="N81" i="22"/>
  <c r="C105" i="22" s="1"/>
  <c r="I105" i="22" s="1"/>
  <c r="M213" i="23"/>
  <c r="N213" i="23"/>
  <c r="C239" i="23" s="1"/>
  <c r="I239" i="23" s="1"/>
  <c r="M28" i="22"/>
  <c r="M47" i="22" s="1"/>
  <c r="C7" i="21" s="1"/>
  <c r="I47" i="22"/>
  <c r="N28" i="22"/>
  <c r="M87" i="22"/>
  <c r="N87" i="22"/>
  <c r="C112" i="22" s="1"/>
  <c r="I112" i="22" s="1"/>
  <c r="C47" i="23"/>
  <c r="I28" i="23"/>
  <c r="M106" i="23"/>
  <c r="N106" i="23" s="1"/>
  <c r="C130" i="23" s="1"/>
  <c r="I130" i="23" s="1"/>
  <c r="M54" i="23"/>
  <c r="N54" i="23"/>
  <c r="C78" i="23" s="1"/>
  <c r="I78" i="23" s="1"/>
  <c r="M58" i="22"/>
  <c r="N58" i="22" s="1"/>
  <c r="C83" i="22" s="1"/>
  <c r="I83" i="22" s="1"/>
  <c r="M78" i="22"/>
  <c r="N78" i="22"/>
  <c r="C102" i="22" s="1"/>
  <c r="I102" i="22" s="1"/>
  <c r="M88" i="23"/>
  <c r="N88" i="23"/>
  <c r="C112" i="23" s="1"/>
  <c r="I112" i="23" s="1"/>
  <c r="M171" i="22"/>
  <c r="N171" i="22"/>
  <c r="C198" i="22" s="1"/>
  <c r="I198" i="22" s="1"/>
  <c r="M61" i="23"/>
  <c r="N61" i="23" s="1"/>
  <c r="C85" i="23" s="1"/>
  <c r="I85" i="23" s="1"/>
  <c r="M65" i="22"/>
  <c r="N65" i="22" s="1"/>
  <c r="C89" i="22" s="1"/>
  <c r="I89" i="22" s="1"/>
  <c r="M57" i="23"/>
  <c r="N57" i="23"/>
  <c r="C81" i="23" s="1"/>
  <c r="I81" i="23" s="1"/>
  <c r="M89" i="22" l="1"/>
  <c r="N89" i="22" s="1"/>
  <c r="C114" i="22" s="1"/>
  <c r="I114" i="22" s="1"/>
  <c r="M85" i="23"/>
  <c r="N85" i="23"/>
  <c r="C109" i="23" s="1"/>
  <c r="I109" i="23" s="1"/>
  <c r="M92" i="22"/>
  <c r="N92" i="22" s="1"/>
  <c r="C117" i="22" s="1"/>
  <c r="I117" i="22" s="1"/>
  <c r="M84" i="23"/>
  <c r="N84" i="23" s="1"/>
  <c r="C108" i="23" s="1"/>
  <c r="I108" i="23" s="1"/>
  <c r="M83" i="22"/>
  <c r="N83" i="22"/>
  <c r="M113" i="23"/>
  <c r="N113" i="23"/>
  <c r="C137" i="23" s="1"/>
  <c r="I137" i="23" s="1"/>
  <c r="M220" i="23"/>
  <c r="N220" i="23"/>
  <c r="C246" i="23" s="1"/>
  <c r="I246" i="23" s="1"/>
  <c r="M113" i="22"/>
  <c r="N113" i="22"/>
  <c r="C138" i="22" s="1"/>
  <c r="I138" i="22" s="1"/>
  <c r="M130" i="23"/>
  <c r="N130" i="23"/>
  <c r="C154" i="23" s="1"/>
  <c r="I154" i="23" s="1"/>
  <c r="M111" i="23"/>
  <c r="N111" i="23"/>
  <c r="C135" i="23" s="1"/>
  <c r="I135" i="23" s="1"/>
  <c r="M85" i="22"/>
  <c r="N85" i="22"/>
  <c r="C110" i="22" s="1"/>
  <c r="I110" i="22" s="1"/>
  <c r="M114" i="23"/>
  <c r="N114" i="23"/>
  <c r="C138" i="23" s="1"/>
  <c r="I138" i="23" s="1"/>
  <c r="M112" i="23"/>
  <c r="N112" i="23"/>
  <c r="C136" i="23" s="1"/>
  <c r="I136" i="23" s="1"/>
  <c r="M116" i="23"/>
  <c r="N116" i="23"/>
  <c r="C140" i="23" s="1"/>
  <c r="I140" i="23" s="1"/>
  <c r="M102" i="22"/>
  <c r="N102" i="22"/>
  <c r="C127" i="22" s="1"/>
  <c r="I127" i="22" s="1"/>
  <c r="M79" i="22"/>
  <c r="N79" i="22"/>
  <c r="C103" i="22" s="1"/>
  <c r="I103" i="22" s="1"/>
  <c r="M79" i="23"/>
  <c r="N79" i="23"/>
  <c r="C103" i="23" s="1"/>
  <c r="I103" i="23" s="1"/>
  <c r="M115" i="22"/>
  <c r="N115" i="22"/>
  <c r="C140" i="22" s="1"/>
  <c r="I140" i="22" s="1"/>
  <c r="M78" i="23"/>
  <c r="N78" i="23" s="1"/>
  <c r="C102" i="23" s="1"/>
  <c r="I102" i="23" s="1"/>
  <c r="M28" i="23"/>
  <c r="M47" i="23" s="1"/>
  <c r="B7" i="21" s="1"/>
  <c r="D7" i="21" s="1"/>
  <c r="F7" i="21" s="1"/>
  <c r="G7" i="21" s="1"/>
  <c r="I47" i="23"/>
  <c r="N28" i="23"/>
  <c r="M112" i="22"/>
  <c r="N112" i="22" s="1"/>
  <c r="C137" i="22" s="1"/>
  <c r="I137" i="22" s="1"/>
  <c r="N81" i="23"/>
  <c r="C105" i="23" s="1"/>
  <c r="I105" i="23" s="1"/>
  <c r="M81" i="23"/>
  <c r="N47" i="22"/>
  <c r="C52" i="22"/>
  <c r="M239" i="23"/>
  <c r="N239" i="23"/>
  <c r="M109" i="22"/>
  <c r="N109" i="22" s="1"/>
  <c r="C134" i="22" s="1"/>
  <c r="I134" i="22" s="1"/>
  <c r="M105" i="22"/>
  <c r="N105" i="22"/>
  <c r="C130" i="22" s="1"/>
  <c r="I130" i="22" s="1"/>
  <c r="M198" i="22"/>
  <c r="N198" i="22"/>
  <c r="C225" i="22" s="1"/>
  <c r="I225" i="22" s="1"/>
  <c r="M137" i="22" l="1"/>
  <c r="N137" i="22"/>
  <c r="C162" i="22" s="1"/>
  <c r="I162" i="22" s="1"/>
  <c r="M102" i="23"/>
  <c r="N102" i="23"/>
  <c r="C126" i="23" s="1"/>
  <c r="I126" i="23" s="1"/>
  <c r="M108" i="23"/>
  <c r="N108" i="23"/>
  <c r="C132" i="23" s="1"/>
  <c r="I132" i="23" s="1"/>
  <c r="M117" i="22"/>
  <c r="N117" i="22"/>
  <c r="C142" i="22" s="1"/>
  <c r="I142" i="22" s="1"/>
  <c r="M134" i="22"/>
  <c r="N134" i="22" s="1"/>
  <c r="C159" i="22" s="1"/>
  <c r="I159" i="22" s="1"/>
  <c r="M114" i="22"/>
  <c r="N114" i="22" s="1"/>
  <c r="C139" i="22" s="1"/>
  <c r="I139" i="22" s="1"/>
  <c r="M105" i="23"/>
  <c r="N105" i="23"/>
  <c r="C129" i="23" s="1"/>
  <c r="I129" i="23" s="1"/>
  <c r="M110" i="22"/>
  <c r="N110" i="22"/>
  <c r="C135" i="22" s="1"/>
  <c r="I135" i="22" s="1"/>
  <c r="M135" i="23"/>
  <c r="N135" i="23"/>
  <c r="C159" i="23" s="1"/>
  <c r="I159" i="23" s="1"/>
  <c r="C52" i="23"/>
  <c r="N47" i="23"/>
  <c r="M154" i="23"/>
  <c r="N154" i="23"/>
  <c r="C180" i="23" s="1"/>
  <c r="I180" i="23" s="1"/>
  <c r="M138" i="22"/>
  <c r="N138" i="22"/>
  <c r="C163" i="22" s="1"/>
  <c r="I163" i="22" s="1"/>
  <c r="M140" i="22"/>
  <c r="N140" i="22"/>
  <c r="C167" i="22" s="1"/>
  <c r="I167" i="22" s="1"/>
  <c r="M246" i="23"/>
  <c r="N246" i="23" s="1"/>
  <c r="M225" i="22"/>
  <c r="N225" i="22"/>
  <c r="C252" i="22" s="1"/>
  <c r="I252" i="22" s="1"/>
  <c r="M103" i="23"/>
  <c r="N103" i="23"/>
  <c r="C127" i="23" s="1"/>
  <c r="I127" i="23" s="1"/>
  <c r="M137" i="23"/>
  <c r="N137" i="23" s="1"/>
  <c r="C163" i="23" s="1"/>
  <c r="I163" i="23" s="1"/>
  <c r="M130" i="22"/>
  <c r="N130" i="22"/>
  <c r="C155" i="22" s="1"/>
  <c r="I155" i="22" s="1"/>
  <c r="M103" i="22"/>
  <c r="N103" i="22" s="1"/>
  <c r="C128" i="22" s="1"/>
  <c r="I128" i="22" s="1"/>
  <c r="C108" i="22"/>
  <c r="N108" i="22" s="1"/>
  <c r="C133" i="22" s="1"/>
  <c r="N133" i="22" s="1"/>
  <c r="C158" i="22" s="1"/>
  <c r="N158" i="22" s="1"/>
  <c r="C185" i="22" s="1"/>
  <c r="N185" i="22" s="1"/>
  <c r="C212" i="22" s="1"/>
  <c r="N212" i="22" s="1"/>
  <c r="C239" i="22" s="1"/>
  <c r="N239" i="22" s="1"/>
  <c r="C107" i="22"/>
  <c r="I107" i="22" s="1"/>
  <c r="M127" i="22"/>
  <c r="N127" i="22"/>
  <c r="C152" i="22" s="1"/>
  <c r="I152" i="22" s="1"/>
  <c r="M140" i="23"/>
  <c r="N140" i="23" s="1"/>
  <c r="C166" i="23" s="1"/>
  <c r="I166" i="23" s="1"/>
  <c r="M136" i="23"/>
  <c r="N136" i="23" s="1"/>
  <c r="C160" i="23" s="1"/>
  <c r="I160" i="23" s="1"/>
  <c r="M109" i="23"/>
  <c r="N109" i="23"/>
  <c r="C133" i="23" s="1"/>
  <c r="I133" i="23" s="1"/>
  <c r="I52" i="22"/>
  <c r="C71" i="22"/>
  <c r="M138" i="23"/>
  <c r="N138" i="23"/>
  <c r="C164" i="23" s="1"/>
  <c r="I164" i="23" s="1"/>
  <c r="M160" i="23" l="1"/>
  <c r="N160" i="23"/>
  <c r="C186" i="23" s="1"/>
  <c r="I186" i="23" s="1"/>
  <c r="M166" i="23"/>
  <c r="N166" i="23"/>
  <c r="C192" i="23" s="1"/>
  <c r="I192" i="23" s="1"/>
  <c r="M128" i="22"/>
  <c r="N128" i="22"/>
  <c r="C153" i="22" s="1"/>
  <c r="I153" i="22" s="1"/>
  <c r="M139" i="22"/>
  <c r="N139" i="22" s="1"/>
  <c r="C164" i="22" s="1"/>
  <c r="I164" i="22" s="1"/>
  <c r="M159" i="22"/>
  <c r="N159" i="22" s="1"/>
  <c r="C186" i="22" s="1"/>
  <c r="I186" i="22" s="1"/>
  <c r="M163" i="23"/>
  <c r="N163" i="23"/>
  <c r="C189" i="23" s="1"/>
  <c r="I189" i="23" s="1"/>
  <c r="M180" i="23"/>
  <c r="N180" i="23" s="1"/>
  <c r="C206" i="23" s="1"/>
  <c r="I206" i="23" s="1"/>
  <c r="M152" i="22"/>
  <c r="N152" i="22"/>
  <c r="C179" i="22" s="1"/>
  <c r="I179" i="22" s="1"/>
  <c r="I52" i="23"/>
  <c r="C71" i="23"/>
  <c r="M107" i="22"/>
  <c r="N107" i="22" s="1"/>
  <c r="C132" i="22" s="1"/>
  <c r="I132" i="22" s="1"/>
  <c r="M159" i="23"/>
  <c r="N159" i="23"/>
  <c r="C185" i="23" s="1"/>
  <c r="I185" i="23" s="1"/>
  <c r="M135" i="22"/>
  <c r="N135" i="22"/>
  <c r="C160" i="22" s="1"/>
  <c r="I160" i="22" s="1"/>
  <c r="M129" i="23"/>
  <c r="N129" i="23"/>
  <c r="C153" i="23" s="1"/>
  <c r="I153" i="23" s="1"/>
  <c r="M164" i="23"/>
  <c r="N164" i="23"/>
  <c r="C190" i="23" s="1"/>
  <c r="I190" i="23" s="1"/>
  <c r="M252" i="22"/>
  <c r="N252" i="22" s="1"/>
  <c r="M52" i="22"/>
  <c r="M71" i="22" s="1"/>
  <c r="C8" i="21" s="1"/>
  <c r="I71" i="22"/>
  <c r="N52" i="22"/>
  <c r="M126" i="23"/>
  <c r="N126" i="23"/>
  <c r="C150" i="23" s="1"/>
  <c r="I150" i="23" s="1"/>
  <c r="M163" i="22"/>
  <c r="N163" i="22" s="1"/>
  <c r="C190" i="22" s="1"/>
  <c r="I190" i="22" s="1"/>
  <c r="M155" i="22"/>
  <c r="N155" i="22" s="1"/>
  <c r="C182" i="22" s="1"/>
  <c r="I182" i="22" s="1"/>
  <c r="M127" i="23"/>
  <c r="N127" i="23"/>
  <c r="C151" i="23" s="1"/>
  <c r="I151" i="23" s="1"/>
  <c r="M142" i="22"/>
  <c r="N142" i="22" s="1"/>
  <c r="C169" i="22" s="1"/>
  <c r="I169" i="22" s="1"/>
  <c r="N132" i="23"/>
  <c r="C156" i="23" s="1"/>
  <c r="I156" i="23" s="1"/>
  <c r="M132" i="23"/>
  <c r="M133" i="23"/>
  <c r="N133" i="23"/>
  <c r="C157" i="23" s="1"/>
  <c r="I157" i="23" s="1"/>
  <c r="M167" i="22"/>
  <c r="N167" i="22"/>
  <c r="C194" i="22" s="1"/>
  <c r="I194" i="22" s="1"/>
  <c r="M162" i="22"/>
  <c r="N162" i="22"/>
  <c r="C189" i="22" s="1"/>
  <c r="I189" i="22" s="1"/>
  <c r="M132" i="22" l="1"/>
  <c r="N132" i="22" s="1"/>
  <c r="C157" i="22" s="1"/>
  <c r="I157" i="22" s="1"/>
  <c r="M169" i="22"/>
  <c r="N169" i="22" s="1"/>
  <c r="C196" i="22" s="1"/>
  <c r="I196" i="22" s="1"/>
  <c r="M206" i="23"/>
  <c r="N206" i="23"/>
  <c r="C232" i="23" s="1"/>
  <c r="I232" i="23" s="1"/>
  <c r="M182" i="22"/>
  <c r="N182" i="22"/>
  <c r="C209" i="22" s="1"/>
  <c r="I209" i="22" s="1"/>
  <c r="N190" i="22"/>
  <c r="C217" i="22" s="1"/>
  <c r="I217" i="22" s="1"/>
  <c r="M190" i="22"/>
  <c r="M186" i="22"/>
  <c r="N186" i="22"/>
  <c r="C213" i="22" s="1"/>
  <c r="I213" i="22" s="1"/>
  <c r="M164" i="22"/>
  <c r="N164" i="22" s="1"/>
  <c r="C191" i="22" s="1"/>
  <c r="I191" i="22" s="1"/>
  <c r="M156" i="23"/>
  <c r="N156" i="23"/>
  <c r="C182" i="23" s="1"/>
  <c r="I182" i="23" s="1"/>
  <c r="M185" i="23"/>
  <c r="N185" i="23" s="1"/>
  <c r="C211" i="23" s="1"/>
  <c r="I211" i="23" s="1"/>
  <c r="M150" i="23"/>
  <c r="N150" i="23"/>
  <c r="C176" i="23" s="1"/>
  <c r="I176" i="23" s="1"/>
  <c r="M194" i="22"/>
  <c r="N194" i="22"/>
  <c r="C221" i="22" s="1"/>
  <c r="I221" i="22" s="1"/>
  <c r="M151" i="23"/>
  <c r="N151" i="23"/>
  <c r="C177" i="23" s="1"/>
  <c r="I177" i="23" s="1"/>
  <c r="M52" i="23"/>
  <c r="M71" i="23" s="1"/>
  <c r="B8" i="21" s="1"/>
  <c r="N52" i="23"/>
  <c r="I71" i="23"/>
  <c r="M179" i="22"/>
  <c r="N179" i="22"/>
  <c r="C206" i="22" s="1"/>
  <c r="I206" i="22" s="1"/>
  <c r="M189" i="23"/>
  <c r="N189" i="23"/>
  <c r="C215" i="23" s="1"/>
  <c r="I215" i="23" s="1"/>
  <c r="C76" i="22"/>
  <c r="N71" i="22"/>
  <c r="D8" i="21"/>
  <c r="F8" i="21" s="1"/>
  <c r="G8" i="21" s="1"/>
  <c r="M189" i="22"/>
  <c r="N189" i="22"/>
  <c r="C216" i="22" s="1"/>
  <c r="I216" i="22" s="1"/>
  <c r="M190" i="23"/>
  <c r="N190" i="23" s="1"/>
  <c r="C216" i="23" s="1"/>
  <c r="I216" i="23" s="1"/>
  <c r="M153" i="22"/>
  <c r="N153" i="22"/>
  <c r="C180" i="22" s="1"/>
  <c r="I180" i="22" s="1"/>
  <c r="M153" i="23"/>
  <c r="N153" i="23"/>
  <c r="C179" i="23" s="1"/>
  <c r="I179" i="23" s="1"/>
  <c r="M192" i="23"/>
  <c r="N192" i="23"/>
  <c r="C218" i="23" s="1"/>
  <c r="I218" i="23" s="1"/>
  <c r="M157" i="23"/>
  <c r="N157" i="23"/>
  <c r="C183" i="23" s="1"/>
  <c r="I183" i="23" s="1"/>
  <c r="M160" i="22"/>
  <c r="N160" i="22" s="1"/>
  <c r="C187" i="22" s="1"/>
  <c r="I187" i="22" s="1"/>
  <c r="M186" i="23"/>
  <c r="N186" i="23" s="1"/>
  <c r="C212" i="23" s="1"/>
  <c r="I212" i="23" s="1"/>
  <c r="M212" i="23" l="1"/>
  <c r="N212" i="23"/>
  <c r="C238" i="23" s="1"/>
  <c r="I238" i="23" s="1"/>
  <c r="M187" i="22"/>
  <c r="N187" i="22" s="1"/>
  <c r="C214" i="22" s="1"/>
  <c r="I214" i="22" s="1"/>
  <c r="M211" i="23"/>
  <c r="N211" i="23"/>
  <c r="C237" i="23" s="1"/>
  <c r="I237" i="23" s="1"/>
  <c r="M216" i="23"/>
  <c r="N216" i="23"/>
  <c r="C242" i="23" s="1"/>
  <c r="I242" i="23" s="1"/>
  <c r="M191" i="22"/>
  <c r="N191" i="22"/>
  <c r="C218" i="22" s="1"/>
  <c r="I218" i="22" s="1"/>
  <c r="M196" i="22"/>
  <c r="N196" i="22"/>
  <c r="C223" i="22" s="1"/>
  <c r="I223" i="22" s="1"/>
  <c r="M157" i="22"/>
  <c r="N157" i="22" s="1"/>
  <c r="C184" i="22" s="1"/>
  <c r="I184" i="22" s="1"/>
  <c r="M218" i="23"/>
  <c r="N218" i="23"/>
  <c r="C244" i="23" s="1"/>
  <c r="I244" i="23" s="1"/>
  <c r="M176" i="23"/>
  <c r="N176" i="23" s="1"/>
  <c r="C202" i="23" s="1"/>
  <c r="I202" i="23" s="1"/>
  <c r="M180" i="22"/>
  <c r="N180" i="22"/>
  <c r="C207" i="22" s="1"/>
  <c r="I207" i="22" s="1"/>
  <c r="M216" i="22"/>
  <c r="N216" i="22"/>
  <c r="C243" i="22" s="1"/>
  <c r="I243" i="22" s="1"/>
  <c r="M217" i="22"/>
  <c r="N217" i="22"/>
  <c r="C244" i="22" s="1"/>
  <c r="I244" i="22" s="1"/>
  <c r="M182" i="23"/>
  <c r="N182" i="23"/>
  <c r="C208" i="23" s="1"/>
  <c r="I208" i="23" s="1"/>
  <c r="M213" i="22"/>
  <c r="N213" i="22"/>
  <c r="C240" i="22" s="1"/>
  <c r="I240" i="22" s="1"/>
  <c r="M215" i="23"/>
  <c r="N215" i="23"/>
  <c r="C241" i="23" s="1"/>
  <c r="I241" i="23" s="1"/>
  <c r="C76" i="23"/>
  <c r="N71" i="23"/>
  <c r="M221" i="22"/>
  <c r="N221" i="22"/>
  <c r="C248" i="22" s="1"/>
  <c r="I248" i="22" s="1"/>
  <c r="M179" i="23"/>
  <c r="N179" i="23"/>
  <c r="C205" i="23" s="1"/>
  <c r="I205" i="23" s="1"/>
  <c r="I76" i="22"/>
  <c r="C95" i="22"/>
  <c r="M209" i="22"/>
  <c r="N209" i="22"/>
  <c r="C236" i="22" s="1"/>
  <c r="I236" i="22" s="1"/>
  <c r="M206" i="22"/>
  <c r="N206" i="22"/>
  <c r="C233" i="22" s="1"/>
  <c r="I233" i="22" s="1"/>
  <c r="M232" i="23"/>
  <c r="N232" i="23" s="1"/>
  <c r="M183" i="23"/>
  <c r="N183" i="23" s="1"/>
  <c r="C209" i="23" s="1"/>
  <c r="I209" i="23" s="1"/>
  <c r="M177" i="23"/>
  <c r="N177" i="23"/>
  <c r="C203" i="23" s="1"/>
  <c r="I203" i="23" s="1"/>
  <c r="M209" i="23" l="1"/>
  <c r="N209" i="23"/>
  <c r="C235" i="23" s="1"/>
  <c r="I235" i="23" s="1"/>
  <c r="M202" i="23"/>
  <c r="N202" i="23" s="1"/>
  <c r="C228" i="23" s="1"/>
  <c r="I228" i="23" s="1"/>
  <c r="M184" i="22"/>
  <c r="N184" i="22"/>
  <c r="C211" i="22" s="1"/>
  <c r="I211" i="22" s="1"/>
  <c r="M214" i="22"/>
  <c r="N214" i="22" s="1"/>
  <c r="C241" i="22" s="1"/>
  <c r="I241" i="22" s="1"/>
  <c r="M243" i="22"/>
  <c r="N243" i="22" s="1"/>
  <c r="M233" i="22"/>
  <c r="N233" i="22"/>
  <c r="M236" i="22"/>
  <c r="N236" i="22"/>
  <c r="I95" i="22"/>
  <c r="M76" i="22"/>
  <c r="M95" i="22" s="1"/>
  <c r="C9" i="21" s="1"/>
  <c r="N76" i="22"/>
  <c r="M205" i="23"/>
  <c r="N205" i="23"/>
  <c r="C231" i="23" s="1"/>
  <c r="I231" i="23" s="1"/>
  <c r="M223" i="22"/>
  <c r="N223" i="22" s="1"/>
  <c r="C250" i="22" s="1"/>
  <c r="I250" i="22" s="1"/>
  <c r="N218" i="22"/>
  <c r="C245" i="22" s="1"/>
  <c r="I245" i="22" s="1"/>
  <c r="M218" i="22"/>
  <c r="C95" i="23"/>
  <c r="I76" i="23"/>
  <c r="M207" i="22"/>
  <c r="N207" i="22"/>
  <c r="C234" i="22" s="1"/>
  <c r="I234" i="22" s="1"/>
  <c r="M244" i="23"/>
  <c r="N244" i="23" s="1"/>
  <c r="M248" i="22"/>
  <c r="N248" i="22" s="1"/>
  <c r="M241" i="23"/>
  <c r="N241" i="23"/>
  <c r="M242" i="23"/>
  <c r="N242" i="23"/>
  <c r="M240" i="22"/>
  <c r="N240" i="22" s="1"/>
  <c r="M237" i="23"/>
  <c r="N237" i="23"/>
  <c r="M203" i="23"/>
  <c r="N203" i="23"/>
  <c r="C229" i="23" s="1"/>
  <c r="I229" i="23" s="1"/>
  <c r="M208" i="23"/>
  <c r="N208" i="23" s="1"/>
  <c r="C234" i="23" s="1"/>
  <c r="I234" i="23" s="1"/>
  <c r="N244" i="22"/>
  <c r="M244" i="22"/>
  <c r="M238" i="23"/>
  <c r="N238" i="23"/>
  <c r="M250" i="22" l="1"/>
  <c r="N250" i="22" s="1"/>
  <c r="M234" i="23"/>
  <c r="N234" i="23"/>
  <c r="M241" i="22"/>
  <c r="N241" i="22"/>
  <c r="M228" i="23"/>
  <c r="N228" i="23" s="1"/>
  <c r="M245" i="22"/>
  <c r="N245" i="22"/>
  <c r="M229" i="23"/>
  <c r="N229" i="23"/>
  <c r="M231" i="23"/>
  <c r="N231" i="23" s="1"/>
  <c r="N95" i="22"/>
  <c r="C100" i="22"/>
  <c r="M211" i="22"/>
  <c r="N211" i="22" s="1"/>
  <c r="C238" i="22" s="1"/>
  <c r="I238" i="22" s="1"/>
  <c r="M234" i="22"/>
  <c r="N234" i="22"/>
  <c r="M76" i="23"/>
  <c r="M95" i="23" s="1"/>
  <c r="B9" i="21" s="1"/>
  <c r="D9" i="21" s="1"/>
  <c r="F9" i="21" s="1"/>
  <c r="G9" i="21" s="1"/>
  <c r="I95" i="23"/>
  <c r="M235" i="23"/>
  <c r="N235" i="23"/>
  <c r="M238" i="22" l="1"/>
  <c r="N238" i="22" s="1"/>
  <c r="N76" i="23"/>
  <c r="I100" i="22"/>
  <c r="C120" i="22"/>
  <c r="I120" i="22" l="1"/>
  <c r="M100" i="22"/>
  <c r="M120" i="22" s="1"/>
  <c r="C10" i="21" s="1"/>
  <c r="N100" i="22"/>
  <c r="N95" i="23"/>
  <c r="C100" i="23"/>
  <c r="I100" i="23" l="1"/>
  <c r="C119" i="23"/>
  <c r="N120" i="22"/>
  <c r="C125" i="22"/>
  <c r="C145" i="22" l="1"/>
  <c r="I125" i="22"/>
  <c r="M100" i="23"/>
  <c r="M119" i="23" s="1"/>
  <c r="B10" i="21" s="1"/>
  <c r="D10" i="21" s="1"/>
  <c r="F10" i="21" s="1"/>
  <c r="G10" i="21" s="1"/>
  <c r="I119" i="23"/>
  <c r="N100" i="23"/>
  <c r="I145" i="22" l="1"/>
  <c r="M125" i="22"/>
  <c r="M145" i="22" s="1"/>
  <c r="C11" i="21" s="1"/>
  <c r="N125" i="22"/>
  <c r="C124" i="23"/>
  <c r="N119" i="23"/>
  <c r="I124" i="23" l="1"/>
  <c r="C143" i="23"/>
  <c r="N145" i="22"/>
  <c r="C150" i="22"/>
  <c r="C172" i="22" l="1"/>
  <c r="I150" i="22"/>
  <c r="I143" i="23"/>
  <c r="M124" i="23"/>
  <c r="M143" i="23" s="1"/>
  <c r="B11" i="21" s="1"/>
  <c r="D11" i="21" s="1"/>
  <c r="F11" i="21" s="1"/>
  <c r="G11" i="21" s="1"/>
  <c r="N124" i="23"/>
  <c r="C148" i="23" l="1"/>
  <c r="N143" i="23"/>
  <c r="M150" i="22"/>
  <c r="M172" i="22" s="1"/>
  <c r="C12" i="21" s="1"/>
  <c r="N150" i="22"/>
  <c r="I172" i="22"/>
  <c r="C177" i="22" l="1"/>
  <c r="N172" i="22"/>
  <c r="C169" i="23"/>
  <c r="I148" i="23"/>
  <c r="I169" i="23" l="1"/>
  <c r="M148" i="23"/>
  <c r="M169" i="23" s="1"/>
  <c r="B12" i="21" s="1"/>
  <c r="D12" i="21" s="1"/>
  <c r="F12" i="21" s="1"/>
  <c r="G12" i="21" s="1"/>
  <c r="N148" i="23"/>
  <c r="I177" i="22"/>
  <c r="C199" i="22"/>
  <c r="M177" i="22" l="1"/>
  <c r="M199" i="22" s="1"/>
  <c r="C13" i="21" s="1"/>
  <c r="I199" i="22"/>
  <c r="N177" i="22"/>
  <c r="C174" i="23"/>
  <c r="N169" i="23"/>
  <c r="I174" i="23" l="1"/>
  <c r="C195" i="23"/>
  <c r="N199" i="22"/>
  <c r="C204" i="22"/>
  <c r="I204" i="22" l="1"/>
  <c r="C226" i="22"/>
  <c r="I195" i="23"/>
  <c r="M174" i="23"/>
  <c r="M195" i="23" s="1"/>
  <c r="B13" i="21" s="1"/>
  <c r="D13" i="21" s="1"/>
  <c r="F13" i="21" s="1"/>
  <c r="G13" i="21" s="1"/>
  <c r="N174" i="23"/>
  <c r="C200" i="23" l="1"/>
  <c r="N195" i="23"/>
  <c r="M204" i="22"/>
  <c r="M226" i="22" s="1"/>
  <c r="C14" i="21" s="1"/>
  <c r="N204" i="22"/>
  <c r="I226" i="22"/>
  <c r="N226" i="22" l="1"/>
  <c r="C231" i="22"/>
  <c r="C221" i="23"/>
  <c r="I200" i="23"/>
  <c r="M200" i="23" l="1"/>
  <c r="M221" i="23" s="1"/>
  <c r="B14" i="21" s="1"/>
  <c r="D14" i="21" s="1"/>
  <c r="F14" i="21" s="1"/>
  <c r="G14" i="21" s="1"/>
  <c r="I221" i="23"/>
  <c r="N200" i="23"/>
  <c r="I231" i="22"/>
  <c r="C253" i="22"/>
  <c r="M231" i="22" l="1"/>
  <c r="M253" i="22" s="1"/>
  <c r="C15" i="21" s="1"/>
  <c r="I253" i="22"/>
  <c r="N231" i="22"/>
  <c r="N253" i="22" s="1"/>
  <c r="N221" i="23"/>
  <c r="C226" i="23"/>
  <c r="C247" i="23" l="1"/>
  <c r="I226" i="23"/>
  <c r="I247" i="23" l="1"/>
  <c r="M226" i="23"/>
  <c r="M247" i="23" s="1"/>
  <c r="B15" i="21" s="1"/>
  <c r="D15" i="21" s="1"/>
  <c r="F15" i="21" s="1"/>
  <c r="G15" i="21" s="1"/>
  <c r="N226" i="23"/>
  <c r="N247" i="23" s="1"/>
  <c r="G9" i="20" l="1"/>
  <c r="I15" i="20"/>
  <c r="G15" i="20"/>
  <c r="J278" i="19" l="1"/>
  <c r="M278" i="19" l="1"/>
  <c r="N278" i="19" s="1"/>
  <c r="J309" i="19" l="1"/>
  <c r="J276" i="19"/>
  <c r="G11" i="20" l="1"/>
  <c r="G6" i="20"/>
  <c r="G10" i="20"/>
  <c r="G8" i="20"/>
  <c r="H8" i="20" s="1"/>
  <c r="G7" i="20"/>
  <c r="G13" i="20"/>
  <c r="G12" i="20"/>
  <c r="J316" i="19" l="1"/>
  <c r="J313" i="19"/>
  <c r="J307" i="19"/>
  <c r="J302" i="19"/>
  <c r="J296" i="19"/>
  <c r="J294" i="19"/>
  <c r="J292" i="19"/>
  <c r="Q318" i="19" l="1"/>
  <c r="J283" i="19" l="1"/>
  <c r="J280" i="19"/>
  <c r="J274" i="19"/>
  <c r="J269" i="19"/>
  <c r="J263" i="19"/>
  <c r="J261" i="19"/>
  <c r="J259" i="19"/>
  <c r="F31" i="19"/>
  <c r="F61" i="19"/>
  <c r="F92" i="19"/>
  <c r="F124" i="19"/>
  <c r="F155" i="19"/>
  <c r="F186" i="19"/>
  <c r="F219" i="19"/>
  <c r="F252" i="19"/>
  <c r="F285" i="19"/>
  <c r="F318" i="19"/>
  <c r="I7" i="20" l="1"/>
  <c r="I8" i="20" l="1"/>
  <c r="I9" i="20"/>
  <c r="I10" i="20" l="1"/>
  <c r="I11" i="20" l="1"/>
  <c r="I12" i="20" l="1"/>
  <c r="I13" i="20" l="1"/>
  <c r="I14" i="20" l="1"/>
  <c r="V141" i="19" l="1"/>
  <c r="H311" i="19" l="1"/>
  <c r="I311" i="19" s="1"/>
  <c r="M311" i="19" s="1"/>
  <c r="N311" i="19" s="1"/>
  <c r="J10" i="18"/>
  <c r="J25" i="18" l="1"/>
  <c r="J23" i="18"/>
  <c r="J12" i="18"/>
  <c r="J8" i="18"/>
  <c r="J54" i="18"/>
  <c r="J52" i="18"/>
  <c r="J41" i="18"/>
  <c r="J39" i="18"/>
  <c r="J37" i="18"/>
  <c r="J83" i="18"/>
  <c r="J81" i="18"/>
  <c r="J70" i="18"/>
  <c r="J68" i="18"/>
  <c r="J66" i="18"/>
  <c r="J112" i="18"/>
  <c r="J110" i="18"/>
  <c r="J99" i="18"/>
  <c r="J97" i="18"/>
  <c r="J95" i="18"/>
  <c r="J141" i="18"/>
  <c r="J139" i="18"/>
  <c r="J128" i="18"/>
  <c r="J126" i="18"/>
  <c r="J124" i="18"/>
  <c r="J170" i="18"/>
  <c r="J168" i="18"/>
  <c r="J157" i="18"/>
  <c r="J153" i="18"/>
  <c r="J184" i="18"/>
  <c r="J186" i="18"/>
  <c r="J197" i="18"/>
  <c r="J199" i="18"/>
  <c r="J202" i="18"/>
  <c r="J295" i="18"/>
  <c r="J292" i="18"/>
  <c r="J290" i="18"/>
  <c r="J279" i="18"/>
  <c r="J277" i="18"/>
  <c r="J275" i="18"/>
  <c r="J264" i="18"/>
  <c r="J261" i="18"/>
  <c r="J259" i="18"/>
  <c r="J246" i="18"/>
  <c r="J248" i="18"/>
  <c r="J244" i="18"/>
  <c r="J230" i="18"/>
  <c r="J228" i="18"/>
  <c r="J217" i="18"/>
  <c r="J215" i="18"/>
  <c r="J213" i="18"/>
  <c r="E247" i="19" l="1"/>
  <c r="D232" i="18"/>
  <c r="H232" i="18" s="1"/>
  <c r="N295" i="18"/>
  <c r="N264" i="18"/>
  <c r="J233" i="18"/>
  <c r="N233" i="18" s="1"/>
  <c r="H200" i="18"/>
  <c r="N202" i="18"/>
  <c r="J247" i="19"/>
  <c r="G216" i="18" l="1"/>
  <c r="G227" i="18" l="1"/>
  <c r="G196" i="18" l="1"/>
  <c r="G185" i="18"/>
  <c r="E193" i="19" l="1"/>
  <c r="G167" i="18"/>
  <c r="G156" i="18"/>
  <c r="M164" i="18"/>
  <c r="M135" i="18"/>
  <c r="Q218" i="19"/>
  <c r="G289" i="18" l="1"/>
  <c r="G278" i="18"/>
  <c r="G258" i="18"/>
  <c r="G247" i="18"/>
  <c r="O313" i="19" l="1"/>
  <c r="E313" i="19" s="1"/>
  <c r="D294" i="18" l="1"/>
  <c r="H294" i="18" s="1"/>
  <c r="I313" i="19" l="1"/>
  <c r="M313" i="19" s="1"/>
  <c r="N313" i="19" l="1"/>
  <c r="I247" i="19"/>
  <c r="M247" i="19" l="1"/>
  <c r="N247" i="19" s="1"/>
  <c r="P247" i="19"/>
  <c r="E214" i="19" l="1"/>
  <c r="J214" i="19"/>
  <c r="I213" i="19"/>
  <c r="M213" i="19" s="1"/>
  <c r="N213" i="19" s="1"/>
  <c r="P214" i="19" l="1"/>
  <c r="D201" i="18"/>
  <c r="H201" i="18" s="1"/>
  <c r="I214" i="19"/>
  <c r="M214" i="19" s="1"/>
  <c r="N214" i="19" s="1"/>
  <c r="C246" i="19" s="1"/>
  <c r="I246" i="19" s="1"/>
  <c r="M246" i="19" s="1"/>
  <c r="N246" i="19" s="1"/>
  <c r="C279" i="19" s="1"/>
  <c r="I279" i="19" s="1"/>
  <c r="M279" i="19" s="1"/>
  <c r="N279" i="19" s="1"/>
  <c r="I201" i="18" l="1"/>
  <c r="M201" i="18" s="1"/>
  <c r="N201" i="18" s="1"/>
  <c r="C232" i="18" s="1"/>
  <c r="I232" i="18" s="1"/>
  <c r="M232" i="18" l="1"/>
  <c r="N232" i="18" s="1"/>
  <c r="C263" i="18" s="1"/>
  <c r="J210" i="19" l="1"/>
  <c r="H12" i="19" l="1"/>
  <c r="Q185" i="19" l="1"/>
  <c r="Q154" i="19" l="1"/>
  <c r="D145" i="18"/>
  <c r="P185" i="19"/>
  <c r="Q123" i="19"/>
  <c r="P91" i="19" l="1"/>
  <c r="Q91" i="19"/>
  <c r="D174" i="18" l="1"/>
  <c r="G138" i="18" l="1"/>
  <c r="G127" i="18"/>
  <c r="E131" i="19" l="1"/>
  <c r="E135" i="19"/>
  <c r="I135" i="19" s="1"/>
  <c r="E146" i="19"/>
  <c r="I146" i="19" s="1"/>
  <c r="P135" i="19" l="1"/>
  <c r="J250" i="19" l="1"/>
  <c r="J243" i="19"/>
  <c r="J241" i="19"/>
  <c r="J230" i="19"/>
  <c r="J228" i="19"/>
  <c r="J226" i="19"/>
  <c r="L299" i="18" l="1"/>
  <c r="K299" i="18"/>
  <c r="G299" i="18"/>
  <c r="F299" i="18"/>
  <c r="E299" i="18"/>
  <c r="H293" i="18"/>
  <c r="H288" i="18"/>
  <c r="H287" i="18"/>
  <c r="J285" i="18"/>
  <c r="H283" i="18"/>
  <c r="H282" i="18"/>
  <c r="H281" i="18"/>
  <c r="H280" i="18"/>
  <c r="H275" i="18"/>
  <c r="H273" i="18"/>
  <c r="L318" i="19" l="1"/>
  <c r="K318" i="19"/>
  <c r="G318" i="19"/>
  <c r="D318" i="19"/>
  <c r="H310" i="19"/>
  <c r="H305" i="19"/>
  <c r="H304" i="19"/>
  <c r="H301" i="19"/>
  <c r="H300" i="19"/>
  <c r="H299" i="19"/>
  <c r="H298" i="19"/>
  <c r="H297" i="19"/>
  <c r="H293" i="19"/>
  <c r="H292" i="19"/>
  <c r="H291" i="19"/>
  <c r="H290" i="19"/>
  <c r="L268" i="18"/>
  <c r="K268" i="18"/>
  <c r="G268" i="18"/>
  <c r="F268" i="18"/>
  <c r="E268" i="18"/>
  <c r="H262" i="18"/>
  <c r="H257" i="18"/>
  <c r="H256" i="18"/>
  <c r="J254" i="18"/>
  <c r="H252" i="18"/>
  <c r="H251" i="18"/>
  <c r="H250" i="18"/>
  <c r="H249" i="18"/>
  <c r="H244" i="18"/>
  <c r="H242" i="18"/>
  <c r="H318" i="19" l="1"/>
  <c r="L285" i="19" l="1"/>
  <c r="K285" i="19"/>
  <c r="G285" i="19"/>
  <c r="D285" i="19"/>
  <c r="H277" i="19"/>
  <c r="H272" i="19"/>
  <c r="H271" i="19"/>
  <c r="H268" i="19"/>
  <c r="H267" i="19"/>
  <c r="H266" i="19"/>
  <c r="H265" i="19"/>
  <c r="H264" i="19"/>
  <c r="H260" i="19"/>
  <c r="H259" i="19"/>
  <c r="H258" i="19"/>
  <c r="H257" i="19"/>
  <c r="H285" i="19" l="1"/>
  <c r="L237" i="18" l="1"/>
  <c r="K237" i="18"/>
  <c r="G237" i="18"/>
  <c r="F237" i="18"/>
  <c r="E237" i="18"/>
  <c r="H231" i="18"/>
  <c r="H226" i="18"/>
  <c r="H225" i="18"/>
  <c r="J223" i="18"/>
  <c r="H221" i="18"/>
  <c r="H220" i="18"/>
  <c r="H219" i="18"/>
  <c r="H218" i="18"/>
  <c r="H213" i="18"/>
  <c r="H211" i="18"/>
  <c r="L252" i="19" l="1"/>
  <c r="K252" i="19"/>
  <c r="G252" i="19"/>
  <c r="D252" i="19"/>
  <c r="H244" i="19"/>
  <c r="H239" i="19"/>
  <c r="H238" i="19"/>
  <c r="J236" i="19"/>
  <c r="H235" i="19"/>
  <c r="H234" i="19"/>
  <c r="H233" i="19"/>
  <c r="H232" i="19"/>
  <c r="H231" i="19"/>
  <c r="H227" i="19"/>
  <c r="H226" i="19"/>
  <c r="H225" i="19"/>
  <c r="H224" i="19"/>
  <c r="H252" i="19" l="1"/>
  <c r="H191" i="19" l="1"/>
  <c r="H192" i="19"/>
  <c r="H193" i="19"/>
  <c r="J193" i="19"/>
  <c r="H194" i="19"/>
  <c r="J195" i="19"/>
  <c r="J197" i="19"/>
  <c r="H198" i="19"/>
  <c r="H199" i="19"/>
  <c r="H200" i="19"/>
  <c r="H201" i="19"/>
  <c r="H202" i="19"/>
  <c r="J203" i="19"/>
  <c r="H205" i="19"/>
  <c r="H206" i="19"/>
  <c r="J208" i="19"/>
  <c r="H211" i="19"/>
  <c r="H163" i="19"/>
  <c r="H161" i="19"/>
  <c r="H162" i="19"/>
  <c r="H167" i="19"/>
  <c r="H168" i="19"/>
  <c r="H169" i="19"/>
  <c r="H170" i="19"/>
  <c r="H171" i="19"/>
  <c r="H174" i="19"/>
  <c r="H175" i="19"/>
  <c r="H180" i="19"/>
  <c r="L206" i="18"/>
  <c r="K206" i="18"/>
  <c r="G206" i="18"/>
  <c r="F206" i="18"/>
  <c r="E206" i="18"/>
  <c r="H195" i="18"/>
  <c r="H194" i="18"/>
  <c r="J192" i="18"/>
  <c r="H190" i="18"/>
  <c r="H189" i="18"/>
  <c r="H188" i="18"/>
  <c r="H187" i="18"/>
  <c r="J182" i="18"/>
  <c r="H182" i="18"/>
  <c r="H180" i="18"/>
  <c r="L175" i="18"/>
  <c r="K175" i="18"/>
  <c r="G175" i="18"/>
  <c r="F175" i="18"/>
  <c r="E175" i="18"/>
  <c r="H171" i="18"/>
  <c r="H166" i="18"/>
  <c r="H165" i="18"/>
  <c r="J163" i="18"/>
  <c r="H161" i="18"/>
  <c r="H160" i="18"/>
  <c r="H159" i="18"/>
  <c r="H158" i="18"/>
  <c r="J155" i="18"/>
  <c r="H153" i="18"/>
  <c r="H151" i="18"/>
  <c r="D69" i="18" l="1"/>
  <c r="E153" i="19" l="1"/>
  <c r="E141" i="19" l="1"/>
  <c r="P141" i="19" s="1"/>
  <c r="E148" i="19" l="1"/>
  <c r="P148" i="19" s="1"/>
  <c r="P131" i="19" l="1"/>
  <c r="D123" i="18" l="1"/>
  <c r="I131" i="19"/>
  <c r="O155" i="19" l="1"/>
  <c r="E133" i="19"/>
  <c r="P133" i="19" s="1"/>
  <c r="Q155" i="19" l="1"/>
  <c r="P146" i="19"/>
  <c r="P155" i="19" s="1"/>
  <c r="E122" i="19"/>
  <c r="D115" i="18" s="1"/>
  <c r="E119" i="19"/>
  <c r="E117" i="19"/>
  <c r="D111" i="18" s="1"/>
  <c r="E110" i="19"/>
  <c r="D104" i="18" s="1"/>
  <c r="E104" i="19"/>
  <c r="D98" i="18" s="1"/>
  <c r="D113" i="18" l="1"/>
  <c r="I119" i="19"/>
  <c r="O124" i="19"/>
  <c r="E102" i="19"/>
  <c r="D96" i="18" s="1"/>
  <c r="E100" i="19"/>
  <c r="D94" i="18" s="1"/>
  <c r="Q124" i="19"/>
  <c r="E115" i="19"/>
  <c r="D109" i="18" s="1"/>
  <c r="E90" i="19"/>
  <c r="P73" i="19"/>
  <c r="E69" i="19"/>
  <c r="M119" i="19" l="1"/>
  <c r="N119" i="19" s="1"/>
  <c r="P100" i="19"/>
  <c r="P102" i="19"/>
  <c r="D86" i="18"/>
  <c r="P90" i="19"/>
  <c r="Q92" i="19"/>
  <c r="E86" i="19" l="1"/>
  <c r="E84" i="19"/>
  <c r="E79" i="19"/>
  <c r="E71" i="19"/>
  <c r="P71" i="19" s="1"/>
  <c r="D82" i="18" l="1"/>
  <c r="D80" i="18"/>
  <c r="D75" i="18"/>
  <c r="P79" i="19"/>
  <c r="O92" i="19"/>
  <c r="P84" i="19"/>
  <c r="D67" i="18"/>
  <c r="P86" i="19"/>
  <c r="D65" i="18" l="1"/>
  <c r="P69" i="19"/>
  <c r="L219" i="19"/>
  <c r="K219" i="19"/>
  <c r="G219" i="19"/>
  <c r="D219" i="19"/>
  <c r="J217" i="19"/>
  <c r="H219" i="19"/>
  <c r="L186" i="19"/>
  <c r="K186" i="19"/>
  <c r="G186" i="19"/>
  <c r="D186" i="19"/>
  <c r="J184" i="19"/>
  <c r="J179" i="19"/>
  <c r="J177" i="19"/>
  <c r="J172" i="19"/>
  <c r="J166" i="19"/>
  <c r="J164" i="19"/>
  <c r="J162" i="19"/>
  <c r="H160" i="19"/>
  <c r="P92" i="19" l="1"/>
  <c r="H186" i="19"/>
  <c r="D144" i="18"/>
  <c r="L146" i="18" l="1"/>
  <c r="K146" i="18"/>
  <c r="G146" i="18"/>
  <c r="F146" i="18"/>
  <c r="E146" i="18"/>
  <c r="H144" i="18"/>
  <c r="H142" i="18"/>
  <c r="H137" i="18"/>
  <c r="H136" i="18"/>
  <c r="J134" i="18"/>
  <c r="H132" i="18"/>
  <c r="H131" i="18"/>
  <c r="H130" i="18"/>
  <c r="H129" i="18"/>
  <c r="H124" i="18"/>
  <c r="H122" i="18"/>
  <c r="L155" i="19"/>
  <c r="K155" i="19"/>
  <c r="G155" i="19"/>
  <c r="D155" i="19"/>
  <c r="J153" i="19"/>
  <c r="I153" i="19"/>
  <c r="H149" i="19"/>
  <c r="J148" i="19"/>
  <c r="J146" i="19"/>
  <c r="H144" i="19"/>
  <c r="H143" i="19"/>
  <c r="J141" i="19"/>
  <c r="H140" i="19"/>
  <c r="H139" i="19"/>
  <c r="H138" i="19"/>
  <c r="H137" i="19"/>
  <c r="H136" i="19"/>
  <c r="J135" i="19"/>
  <c r="J133" i="19"/>
  <c r="H132" i="19"/>
  <c r="J131" i="19"/>
  <c r="H131" i="19"/>
  <c r="H130" i="19"/>
  <c r="H129" i="19"/>
  <c r="M153" i="19" l="1"/>
  <c r="N153" i="19" s="1"/>
  <c r="H155" i="19"/>
  <c r="L117" i="18"/>
  <c r="K117" i="18"/>
  <c r="G117" i="18"/>
  <c r="F117" i="18"/>
  <c r="E117" i="18"/>
  <c r="H115" i="18"/>
  <c r="H113" i="18"/>
  <c r="H111" i="18"/>
  <c r="H109" i="18"/>
  <c r="H108" i="18"/>
  <c r="H107" i="18"/>
  <c r="J105" i="18"/>
  <c r="H104" i="18"/>
  <c r="H103" i="18"/>
  <c r="H102" i="18"/>
  <c r="H101" i="18"/>
  <c r="H100" i="18"/>
  <c r="H98" i="18"/>
  <c r="H96" i="18"/>
  <c r="H95" i="18"/>
  <c r="H94" i="18"/>
  <c r="H93" i="18"/>
  <c r="L124" i="19"/>
  <c r="K124" i="19"/>
  <c r="G124" i="19"/>
  <c r="D124" i="19"/>
  <c r="J122" i="19"/>
  <c r="I122" i="19"/>
  <c r="H118" i="19"/>
  <c r="J117" i="19"/>
  <c r="I117" i="19"/>
  <c r="J115" i="19"/>
  <c r="I115" i="19"/>
  <c r="H113" i="19"/>
  <c r="H112" i="19"/>
  <c r="J110" i="19"/>
  <c r="I110" i="19"/>
  <c r="H109" i="19"/>
  <c r="H108" i="19"/>
  <c r="H107" i="19"/>
  <c r="H106" i="19"/>
  <c r="H105" i="19"/>
  <c r="J104" i="19"/>
  <c r="I104" i="19"/>
  <c r="J102" i="19"/>
  <c r="I102" i="19"/>
  <c r="H101" i="19"/>
  <c r="J100" i="19"/>
  <c r="H100" i="19"/>
  <c r="E124" i="19"/>
  <c r="P124" i="19" s="1"/>
  <c r="H99" i="19"/>
  <c r="H98" i="19"/>
  <c r="M117" i="19" l="1"/>
  <c r="N117" i="19" s="1"/>
  <c r="H117" i="18"/>
  <c r="D117" i="18"/>
  <c r="M102" i="19"/>
  <c r="M110" i="19"/>
  <c r="M115" i="19"/>
  <c r="M104" i="19"/>
  <c r="M122" i="19"/>
  <c r="H124" i="19"/>
  <c r="I100" i="19"/>
  <c r="N104" i="19" l="1"/>
  <c r="N102" i="19"/>
  <c r="N115" i="19"/>
  <c r="N110" i="19"/>
  <c r="N122" i="19"/>
  <c r="M100" i="19"/>
  <c r="N100" i="19" l="1"/>
  <c r="L88" i="18" l="1"/>
  <c r="K88" i="18"/>
  <c r="G88" i="18"/>
  <c r="F88" i="18"/>
  <c r="H86" i="18"/>
  <c r="H84" i="18"/>
  <c r="H82" i="18"/>
  <c r="H79" i="18"/>
  <c r="H78" i="18"/>
  <c r="J76" i="18"/>
  <c r="H75" i="18"/>
  <c r="H74" i="18"/>
  <c r="H73" i="18"/>
  <c r="H72" i="18"/>
  <c r="H71" i="18"/>
  <c r="H69" i="18"/>
  <c r="H66" i="18"/>
  <c r="H65" i="18"/>
  <c r="H64" i="18"/>
  <c r="L59" i="18"/>
  <c r="K59" i="18"/>
  <c r="G59" i="18"/>
  <c r="F59" i="18"/>
  <c r="D59" i="18"/>
  <c r="H57" i="18"/>
  <c r="H55" i="18"/>
  <c r="H53" i="18"/>
  <c r="H51" i="18"/>
  <c r="H50" i="18"/>
  <c r="H49" i="18"/>
  <c r="J47" i="18"/>
  <c r="H46" i="18"/>
  <c r="H45" i="18"/>
  <c r="H44" i="18"/>
  <c r="H43" i="18"/>
  <c r="H42" i="18"/>
  <c r="H40" i="18"/>
  <c r="H38" i="18"/>
  <c r="H37" i="18"/>
  <c r="H36" i="18"/>
  <c r="H35" i="18"/>
  <c r="L30" i="18"/>
  <c r="K30" i="18"/>
  <c r="G30" i="18"/>
  <c r="F30" i="18"/>
  <c r="E30" i="18"/>
  <c r="H26" i="18"/>
  <c r="I25" i="18"/>
  <c r="D24" i="18"/>
  <c r="H24" i="18" s="1"/>
  <c r="I23" i="18"/>
  <c r="M23" i="18" s="1"/>
  <c r="N23" i="18" s="1"/>
  <c r="C52" i="18" s="1"/>
  <c r="I52" i="18" s="1"/>
  <c r="D22" i="18"/>
  <c r="H21" i="18"/>
  <c r="H20" i="18"/>
  <c r="M19" i="18"/>
  <c r="J18" i="18"/>
  <c r="I18" i="18"/>
  <c r="D17" i="18"/>
  <c r="H17" i="18" s="1"/>
  <c r="H16" i="18"/>
  <c r="H15" i="18"/>
  <c r="H14" i="18"/>
  <c r="H13" i="18"/>
  <c r="I12" i="18"/>
  <c r="M12" i="18" s="1"/>
  <c r="D11" i="18"/>
  <c r="H11" i="18" s="1"/>
  <c r="I10" i="18"/>
  <c r="D9" i="18"/>
  <c r="H9" i="18" s="1"/>
  <c r="I8" i="18"/>
  <c r="D7" i="18"/>
  <c r="H7" i="18" s="1"/>
  <c r="H6" i="18"/>
  <c r="L92" i="19"/>
  <c r="K92" i="19"/>
  <c r="G92" i="19"/>
  <c r="D92" i="19"/>
  <c r="J90" i="19"/>
  <c r="I90" i="19"/>
  <c r="H87" i="19"/>
  <c r="J86" i="19"/>
  <c r="I86" i="19"/>
  <c r="J84" i="19"/>
  <c r="H82" i="19"/>
  <c r="H81" i="19"/>
  <c r="J79" i="19"/>
  <c r="I79" i="19"/>
  <c r="H78" i="19"/>
  <c r="H77" i="19"/>
  <c r="H76" i="19"/>
  <c r="H75" i="19"/>
  <c r="H74" i="19"/>
  <c r="J73" i="19"/>
  <c r="I73" i="19"/>
  <c r="J71" i="19"/>
  <c r="I71" i="19"/>
  <c r="M71" i="19" s="1"/>
  <c r="H70" i="19"/>
  <c r="J69" i="19"/>
  <c r="H69" i="19"/>
  <c r="H68" i="19"/>
  <c r="H67" i="19"/>
  <c r="L61" i="19"/>
  <c r="K61" i="19"/>
  <c r="G61" i="19"/>
  <c r="D61" i="19"/>
  <c r="J59" i="19"/>
  <c r="I59" i="19"/>
  <c r="H56" i="19"/>
  <c r="J55" i="19"/>
  <c r="I55" i="19"/>
  <c r="J53" i="19"/>
  <c r="I53" i="19"/>
  <c r="H51" i="19"/>
  <c r="H50" i="19"/>
  <c r="J48" i="19"/>
  <c r="H47" i="19"/>
  <c r="H46" i="19"/>
  <c r="H45" i="19"/>
  <c r="H44" i="19"/>
  <c r="H43" i="19"/>
  <c r="J42" i="19"/>
  <c r="I42" i="19"/>
  <c r="H41" i="19"/>
  <c r="J40" i="19"/>
  <c r="I40" i="19"/>
  <c r="H39" i="19"/>
  <c r="J38" i="19"/>
  <c r="H38" i="19"/>
  <c r="I38" i="19"/>
  <c r="H37" i="19"/>
  <c r="H36" i="19"/>
  <c r="L31" i="19"/>
  <c r="K31" i="19"/>
  <c r="G31" i="19"/>
  <c r="E31" i="19"/>
  <c r="D31" i="19"/>
  <c r="H27" i="19"/>
  <c r="J26" i="19"/>
  <c r="I26" i="19"/>
  <c r="H25" i="19"/>
  <c r="J24" i="19"/>
  <c r="I24" i="19"/>
  <c r="M24" i="19" s="1"/>
  <c r="H23" i="19"/>
  <c r="H22" i="19"/>
  <c r="H21" i="19"/>
  <c r="M20" i="19"/>
  <c r="J19" i="19"/>
  <c r="I19" i="19"/>
  <c r="H18" i="19"/>
  <c r="H17" i="19"/>
  <c r="H16" i="19"/>
  <c r="H15" i="19"/>
  <c r="H14" i="19"/>
  <c r="J13" i="19"/>
  <c r="I13" i="19"/>
  <c r="M13" i="19" s="1"/>
  <c r="J11" i="19"/>
  <c r="I11" i="19"/>
  <c r="H10" i="19"/>
  <c r="J9" i="19"/>
  <c r="I9" i="19"/>
  <c r="H8" i="19"/>
  <c r="H7" i="19"/>
  <c r="E59" i="18" l="1"/>
  <c r="M11" i="19"/>
  <c r="N11" i="19" s="1"/>
  <c r="I27" i="18"/>
  <c r="M27" i="18" s="1"/>
  <c r="N27" i="18" s="1"/>
  <c r="C56" i="18" s="1"/>
  <c r="I56" i="18" s="1"/>
  <c r="I28" i="19"/>
  <c r="M28" i="19" s="1"/>
  <c r="N28" i="19" s="1"/>
  <c r="C57" i="19" s="1"/>
  <c r="I57" i="19" s="1"/>
  <c r="M25" i="18"/>
  <c r="N25" i="18" s="1"/>
  <c r="C54" i="18" s="1"/>
  <c r="I54" i="18" s="1"/>
  <c r="M54" i="18" s="1"/>
  <c r="N54" i="18" s="1"/>
  <c r="C83" i="18" s="1"/>
  <c r="I83" i="18" s="1"/>
  <c r="M10" i="18"/>
  <c r="N10" i="18" s="1"/>
  <c r="C39" i="18" s="1"/>
  <c r="I39" i="18" s="1"/>
  <c r="M39" i="18" s="1"/>
  <c r="N39" i="18" s="1"/>
  <c r="C68" i="18" s="1"/>
  <c r="I68" i="18" s="1"/>
  <c r="I28" i="18"/>
  <c r="M28" i="18" s="1"/>
  <c r="N28" i="18" s="1"/>
  <c r="C57" i="18" s="1"/>
  <c r="I57" i="18" s="1"/>
  <c r="D30" i="18"/>
  <c r="M8" i="18"/>
  <c r="N8" i="18" s="1"/>
  <c r="C37" i="18" s="1"/>
  <c r="I37" i="18" s="1"/>
  <c r="N13" i="19"/>
  <c r="M38" i="19"/>
  <c r="N38" i="19" s="1"/>
  <c r="C69" i="19" s="1"/>
  <c r="I69" i="19" s="1"/>
  <c r="M69" i="19" s="1"/>
  <c r="M40" i="19"/>
  <c r="N40" i="19" s="1"/>
  <c r="M73" i="19"/>
  <c r="N73" i="19" s="1"/>
  <c r="M90" i="19"/>
  <c r="N90" i="19" s="1"/>
  <c r="N71" i="19"/>
  <c r="E88" i="18"/>
  <c r="E61" i="19"/>
  <c r="H22" i="18"/>
  <c r="M18" i="18"/>
  <c r="N18" i="18" s="1"/>
  <c r="C47" i="18" s="1"/>
  <c r="I47" i="18" s="1"/>
  <c r="M52" i="18"/>
  <c r="N52" i="18" s="1"/>
  <c r="C81" i="18" s="1"/>
  <c r="I81" i="18" s="1"/>
  <c r="N12" i="18"/>
  <c r="C41" i="18" s="1"/>
  <c r="I41" i="18" s="1"/>
  <c r="H59" i="18"/>
  <c r="H67" i="18"/>
  <c r="M55" i="19"/>
  <c r="N55" i="19" s="1"/>
  <c r="M79" i="19"/>
  <c r="N79" i="19" s="1"/>
  <c r="M9" i="19"/>
  <c r="N9" i="19" s="1"/>
  <c r="N24" i="19"/>
  <c r="H61" i="19"/>
  <c r="M86" i="19"/>
  <c r="N86" i="19" s="1"/>
  <c r="I29" i="19"/>
  <c r="M53" i="19"/>
  <c r="N53" i="19" s="1"/>
  <c r="H92" i="19"/>
  <c r="M59" i="19"/>
  <c r="N59" i="19" s="1"/>
  <c r="M19" i="19"/>
  <c r="N19" i="19" s="1"/>
  <c r="C48" i="19" s="1"/>
  <c r="I48" i="19" s="1"/>
  <c r="M26" i="19"/>
  <c r="N26" i="19" s="1"/>
  <c r="H31" i="19"/>
  <c r="M42" i="19"/>
  <c r="N42" i="19" s="1"/>
  <c r="M37" i="18" l="1"/>
  <c r="N37" i="18" s="1"/>
  <c r="C66" i="18" s="1"/>
  <c r="I66" i="18" s="1"/>
  <c r="N69" i="19"/>
  <c r="M57" i="18"/>
  <c r="N57" i="18" s="1"/>
  <c r="C86" i="18" s="1"/>
  <c r="I86" i="18" s="1"/>
  <c r="M68" i="18"/>
  <c r="N68" i="18" s="1"/>
  <c r="C97" i="18" s="1"/>
  <c r="I97" i="18" s="1"/>
  <c r="M81" i="18"/>
  <c r="N81" i="18" s="1"/>
  <c r="C110" i="18" s="1"/>
  <c r="I110" i="18" s="1"/>
  <c r="M110" i="18" s="1"/>
  <c r="N110" i="18" s="1"/>
  <c r="C139" i="18" s="1"/>
  <c r="I139" i="18" s="1"/>
  <c r="M139" i="18" s="1"/>
  <c r="N139" i="18" s="1"/>
  <c r="C168" i="18" s="1"/>
  <c r="I168" i="18" s="1"/>
  <c r="M168" i="18" s="1"/>
  <c r="N168" i="18" s="1"/>
  <c r="C197" i="18" s="1"/>
  <c r="I197" i="18" s="1"/>
  <c r="M83" i="18"/>
  <c r="N83" i="18" s="1"/>
  <c r="C112" i="18" s="1"/>
  <c r="I112" i="18" s="1"/>
  <c r="M112" i="18" s="1"/>
  <c r="N112" i="18" s="1"/>
  <c r="C141" i="18" s="1"/>
  <c r="I141" i="18" s="1"/>
  <c r="M141" i="18" s="1"/>
  <c r="N141" i="18" s="1"/>
  <c r="C170" i="18" s="1"/>
  <c r="I170" i="18" s="1"/>
  <c r="M56" i="18"/>
  <c r="N56" i="18" s="1"/>
  <c r="C85" i="18" s="1"/>
  <c r="I85" i="18" s="1"/>
  <c r="M47" i="18"/>
  <c r="N47" i="18" s="1"/>
  <c r="C76" i="18" s="1"/>
  <c r="I76" i="18" s="1"/>
  <c r="M41" i="18"/>
  <c r="N41" i="18" s="1"/>
  <c r="C70" i="18" s="1"/>
  <c r="I70" i="18" s="1"/>
  <c r="H30" i="18"/>
  <c r="M48" i="19"/>
  <c r="N48" i="19" s="1"/>
  <c r="M57" i="19"/>
  <c r="N57" i="19" s="1"/>
  <c r="C88" i="19" s="1"/>
  <c r="I88" i="19" s="1"/>
  <c r="M29" i="19"/>
  <c r="N29" i="19" s="1"/>
  <c r="C58" i="19" s="1"/>
  <c r="I58" i="19" s="1"/>
  <c r="M197" i="18" l="1"/>
  <c r="N197" i="18" s="1"/>
  <c r="C228" i="18" s="1"/>
  <c r="I228" i="18" s="1"/>
  <c r="M170" i="18"/>
  <c r="N170" i="18" s="1"/>
  <c r="C199" i="18" s="1"/>
  <c r="I199" i="18" s="1"/>
  <c r="M199" i="18" s="1"/>
  <c r="N199" i="18" s="1"/>
  <c r="C230" i="18" s="1"/>
  <c r="I230" i="18" s="1"/>
  <c r="M230" i="18" s="1"/>
  <c r="N230" i="18" s="1"/>
  <c r="C261" i="18" s="1"/>
  <c r="I261" i="18" s="1"/>
  <c r="M66" i="18"/>
  <c r="N66" i="18" s="1"/>
  <c r="C95" i="18" s="1"/>
  <c r="I95" i="18" s="1"/>
  <c r="M97" i="18"/>
  <c r="N97" i="18" s="1"/>
  <c r="C126" i="18" s="1"/>
  <c r="I126" i="18" s="1"/>
  <c r="M126" i="18" s="1"/>
  <c r="N126" i="18" s="1"/>
  <c r="C155" i="18" s="1"/>
  <c r="I155" i="18" s="1"/>
  <c r="M155" i="18" s="1"/>
  <c r="N155" i="18" s="1"/>
  <c r="C184" i="18" s="1"/>
  <c r="I184" i="18" s="1"/>
  <c r="M184" i="18" s="1"/>
  <c r="N184" i="18" s="1"/>
  <c r="C215" i="18" s="1"/>
  <c r="I215" i="18" s="1"/>
  <c r="M215" i="18" s="1"/>
  <c r="N215" i="18" s="1"/>
  <c r="C246" i="18" s="1"/>
  <c r="I246" i="18" s="1"/>
  <c r="M70" i="18"/>
  <c r="N70" i="18" s="1"/>
  <c r="C99" i="18" s="1"/>
  <c r="I99" i="18" s="1"/>
  <c r="M99" i="18" s="1"/>
  <c r="N99" i="18" s="1"/>
  <c r="C128" i="18" s="1"/>
  <c r="I128" i="18" s="1"/>
  <c r="M128" i="18" s="1"/>
  <c r="N128" i="18" s="1"/>
  <c r="C157" i="18" s="1"/>
  <c r="I157" i="18" s="1"/>
  <c r="M157" i="18" s="1"/>
  <c r="N157" i="18" s="1"/>
  <c r="C186" i="18" s="1"/>
  <c r="I186" i="18" s="1"/>
  <c r="M76" i="18"/>
  <c r="N76" i="18" s="1"/>
  <c r="C105" i="18" s="1"/>
  <c r="I105" i="18" s="1"/>
  <c r="M85" i="18"/>
  <c r="N85" i="18" s="1"/>
  <c r="C114" i="18" s="1"/>
  <c r="I114" i="18" s="1"/>
  <c r="M114" i="18" s="1"/>
  <c r="N114" i="18" s="1"/>
  <c r="C143" i="18" s="1"/>
  <c r="I143" i="18" s="1"/>
  <c r="M86" i="18"/>
  <c r="N86" i="18" s="1"/>
  <c r="C115" i="18" s="1"/>
  <c r="I115" i="18" s="1"/>
  <c r="M58" i="19"/>
  <c r="N58" i="19" s="1"/>
  <c r="C89" i="19" s="1"/>
  <c r="I89" i="19" s="1"/>
  <c r="M88" i="19"/>
  <c r="N88" i="19" s="1"/>
  <c r="C120" i="19" s="1"/>
  <c r="I120" i="19" s="1"/>
  <c r="M120" i="19" s="1"/>
  <c r="N120" i="19" s="1"/>
  <c r="C151" i="19" s="1"/>
  <c r="I151" i="19" s="1"/>
  <c r="M246" i="18" l="1"/>
  <c r="N246" i="18" s="1"/>
  <c r="C277" i="18" s="1"/>
  <c r="I277" i="18" s="1"/>
  <c r="M277" i="18" s="1"/>
  <c r="N277" i="18" s="1"/>
  <c r="M228" i="18"/>
  <c r="N228" i="18" s="1"/>
  <c r="C259" i="18" s="1"/>
  <c r="I259" i="18" s="1"/>
  <c r="M261" i="18"/>
  <c r="N261" i="18" s="1"/>
  <c r="C292" i="18" s="1"/>
  <c r="I292" i="18" s="1"/>
  <c r="M292" i="18" s="1"/>
  <c r="N292" i="18" s="1"/>
  <c r="I20" i="19"/>
  <c r="N20" i="19" s="1"/>
  <c r="C49" i="19" s="1"/>
  <c r="I49" i="19" s="1"/>
  <c r="N49" i="19" s="1"/>
  <c r="C80" i="19" s="1"/>
  <c r="I80" i="19" s="1"/>
  <c r="M186" i="18"/>
  <c r="N186" i="18" s="1"/>
  <c r="C217" i="18" s="1"/>
  <c r="I217" i="18" s="1"/>
  <c r="M95" i="18"/>
  <c r="N95" i="18" s="1"/>
  <c r="C124" i="18" s="1"/>
  <c r="I124" i="18" s="1"/>
  <c r="M105" i="18"/>
  <c r="N105" i="18" s="1"/>
  <c r="C134" i="18" s="1"/>
  <c r="I134" i="18" s="1"/>
  <c r="M143" i="18"/>
  <c r="N143" i="18" s="1"/>
  <c r="C172" i="18" s="1"/>
  <c r="I172" i="18" s="1"/>
  <c r="M115" i="18"/>
  <c r="N115" i="18" s="1"/>
  <c r="C144" i="18" s="1"/>
  <c r="I144" i="18" s="1"/>
  <c r="M144" i="18" s="1"/>
  <c r="N144" i="18" s="1"/>
  <c r="C173" i="18" s="1"/>
  <c r="M151" i="19"/>
  <c r="N151" i="19" s="1"/>
  <c r="C182" i="19" s="1"/>
  <c r="I182" i="19" s="1"/>
  <c r="M89" i="19"/>
  <c r="N89" i="19" s="1"/>
  <c r="C121" i="19" s="1"/>
  <c r="I121" i="19" s="1"/>
  <c r="M182" i="19" l="1"/>
  <c r="N182" i="19" s="1"/>
  <c r="M217" i="18"/>
  <c r="N217" i="18" s="1"/>
  <c r="C248" i="18" s="1"/>
  <c r="I248" i="18" s="1"/>
  <c r="M248" i="18" s="1"/>
  <c r="N248" i="18" s="1"/>
  <c r="C279" i="18" s="1"/>
  <c r="I279" i="18" s="1"/>
  <c r="M279" i="18" s="1"/>
  <c r="N279" i="18" s="1"/>
  <c r="M259" i="18"/>
  <c r="N259" i="18" s="1"/>
  <c r="C290" i="18" s="1"/>
  <c r="I290" i="18" s="1"/>
  <c r="M290" i="18" s="1"/>
  <c r="N290" i="18" s="1"/>
  <c r="M172" i="18"/>
  <c r="N172" i="18" s="1"/>
  <c r="C203" i="18" s="1"/>
  <c r="I203" i="18" s="1"/>
  <c r="M203" i="18" s="1"/>
  <c r="N203" i="18" s="1"/>
  <c r="C234" i="18" s="1"/>
  <c r="I234" i="18" s="1"/>
  <c r="M124" i="18"/>
  <c r="N124" i="18" s="1"/>
  <c r="C153" i="18" s="1"/>
  <c r="I153" i="18" s="1"/>
  <c r="M153" i="18" s="1"/>
  <c r="N153" i="18" s="1"/>
  <c r="C182" i="18" s="1"/>
  <c r="I182" i="18" s="1"/>
  <c r="M182" i="18" s="1"/>
  <c r="N182" i="18" s="1"/>
  <c r="C213" i="18" s="1"/>
  <c r="I213" i="18" s="1"/>
  <c r="M134" i="18"/>
  <c r="N134" i="18" s="1"/>
  <c r="C163" i="18" s="1"/>
  <c r="I163" i="18" s="1"/>
  <c r="M163" i="18" s="1"/>
  <c r="N163" i="18" s="1"/>
  <c r="C192" i="18" s="1"/>
  <c r="I192" i="18" s="1"/>
  <c r="M121" i="19"/>
  <c r="N121" i="19" s="1"/>
  <c r="C152" i="19" s="1"/>
  <c r="I152" i="19" s="1"/>
  <c r="M152" i="19" s="1"/>
  <c r="N152" i="19" s="1"/>
  <c r="C183" i="19" s="1"/>
  <c r="I183" i="19" s="1"/>
  <c r="M183" i="19" s="1"/>
  <c r="I19" i="18"/>
  <c r="N19" i="18" s="1"/>
  <c r="C48" i="18" s="1"/>
  <c r="I48" i="18" s="1"/>
  <c r="N48" i="18" s="1"/>
  <c r="C77" i="18" s="1"/>
  <c r="I77" i="18" s="1"/>
  <c r="I27" i="19"/>
  <c r="M80" i="19"/>
  <c r="N80" i="19" s="1"/>
  <c r="C111" i="19" s="1"/>
  <c r="I111" i="19" s="1"/>
  <c r="M111" i="19" s="1"/>
  <c r="N111" i="19" s="1"/>
  <c r="C142" i="19" s="1"/>
  <c r="I142" i="19" s="1"/>
  <c r="N183" i="19" l="1"/>
  <c r="C215" i="19"/>
  <c r="I215" i="19" s="1"/>
  <c r="M215" i="19" s="1"/>
  <c r="N215" i="19" s="1"/>
  <c r="C248" i="19" s="1"/>
  <c r="I248" i="19" s="1"/>
  <c r="M248" i="19" s="1"/>
  <c r="N248" i="19" s="1"/>
  <c r="C281" i="19" s="1"/>
  <c r="I281" i="19" s="1"/>
  <c r="M281" i="19" s="1"/>
  <c r="N281" i="19" s="1"/>
  <c r="C314" i="19" s="1"/>
  <c r="I314" i="19" s="1"/>
  <c r="M314" i="19" s="1"/>
  <c r="N314" i="19" s="1"/>
  <c r="M234" i="18"/>
  <c r="N234" i="18" s="1"/>
  <c r="C265" i="18" s="1"/>
  <c r="I265" i="18" s="1"/>
  <c r="M265" i="18" s="1"/>
  <c r="N265" i="18" s="1"/>
  <c r="C296" i="18" s="1"/>
  <c r="I296" i="18" s="1"/>
  <c r="M296" i="18" s="1"/>
  <c r="N296" i="18" s="1"/>
  <c r="M213" i="18"/>
  <c r="N213" i="18" s="1"/>
  <c r="C244" i="18" s="1"/>
  <c r="I244" i="18" s="1"/>
  <c r="M244" i="18" s="1"/>
  <c r="N244" i="18" s="1"/>
  <c r="C275" i="18" s="1"/>
  <c r="I275" i="18" s="1"/>
  <c r="M275" i="18" s="1"/>
  <c r="N275" i="18" s="1"/>
  <c r="M192" i="18"/>
  <c r="N192" i="18" s="1"/>
  <c r="C223" i="18" s="1"/>
  <c r="I223" i="18" s="1"/>
  <c r="N142" i="19"/>
  <c r="C173" i="19" s="1"/>
  <c r="I173" i="19" s="1"/>
  <c r="M77" i="18"/>
  <c r="N77" i="18" s="1"/>
  <c r="C106" i="18" s="1"/>
  <c r="I106" i="18" s="1"/>
  <c r="I26" i="18"/>
  <c r="I11" i="18"/>
  <c r="M27" i="19"/>
  <c r="N27" i="19" s="1"/>
  <c r="C56" i="19" s="1"/>
  <c r="I56" i="19" s="1"/>
  <c r="I10" i="19"/>
  <c r="I16" i="19"/>
  <c r="I22" i="19"/>
  <c r="I15" i="19"/>
  <c r="M223" i="18" l="1"/>
  <c r="N223" i="18" s="1"/>
  <c r="C254" i="18" s="1"/>
  <c r="I254" i="18" s="1"/>
  <c r="N173" i="19"/>
  <c r="C204" i="19" s="1"/>
  <c r="I204" i="19" s="1"/>
  <c r="M204" i="19" s="1"/>
  <c r="N204" i="19" s="1"/>
  <c r="C237" i="19" s="1"/>
  <c r="I237" i="19" s="1"/>
  <c r="M106" i="18"/>
  <c r="N106" i="18" s="1"/>
  <c r="C135" i="18" s="1"/>
  <c r="I135" i="18" s="1"/>
  <c r="M11" i="18"/>
  <c r="N11" i="18" s="1"/>
  <c r="C40" i="18" s="1"/>
  <c r="I40" i="18" s="1"/>
  <c r="I22" i="18"/>
  <c r="I13" i="18"/>
  <c r="M26" i="18"/>
  <c r="N26" i="18" s="1"/>
  <c r="C55" i="18" s="1"/>
  <c r="I55" i="18" s="1"/>
  <c r="I24" i="18"/>
  <c r="I14" i="19"/>
  <c r="M16" i="19"/>
  <c r="N16" i="19" s="1"/>
  <c r="C45" i="19" s="1"/>
  <c r="I45" i="19" s="1"/>
  <c r="M10" i="19"/>
  <c r="N10" i="19" s="1"/>
  <c r="C39" i="19" s="1"/>
  <c r="I39" i="19" s="1"/>
  <c r="I21" i="19"/>
  <c r="M15" i="19"/>
  <c r="N15" i="19" s="1"/>
  <c r="C44" i="19" s="1"/>
  <c r="I44" i="19" s="1"/>
  <c r="I25" i="19"/>
  <c r="M22" i="19"/>
  <c r="N22" i="19" s="1"/>
  <c r="C51" i="19" s="1"/>
  <c r="I51" i="19" s="1"/>
  <c r="I12" i="19"/>
  <c r="I18" i="19"/>
  <c r="I8" i="19"/>
  <c r="I17" i="19"/>
  <c r="M56" i="19"/>
  <c r="N56" i="19" s="1"/>
  <c r="C87" i="19" s="1"/>
  <c r="I87" i="19" s="1"/>
  <c r="M254" i="18" l="1"/>
  <c r="N254" i="18" s="1"/>
  <c r="C285" i="18" s="1"/>
  <c r="I285" i="18" s="1"/>
  <c r="M237" i="19"/>
  <c r="N237" i="19" s="1"/>
  <c r="C270" i="19" s="1"/>
  <c r="I270" i="19" s="1"/>
  <c r="M270" i="19" s="1"/>
  <c r="N270" i="19" s="1"/>
  <c r="C303" i="19" s="1"/>
  <c r="I303" i="19" s="1"/>
  <c r="N135" i="18"/>
  <c r="C164" i="18" s="1"/>
  <c r="I164" i="18" s="1"/>
  <c r="N164" i="18" s="1"/>
  <c r="C193" i="18" s="1"/>
  <c r="I193" i="18" s="1"/>
  <c r="M193" i="18" s="1"/>
  <c r="N193" i="18" s="1"/>
  <c r="C224" i="18" s="1"/>
  <c r="I224" i="18" s="1"/>
  <c r="M224" i="18" s="1"/>
  <c r="N224" i="18" s="1"/>
  <c r="C255" i="18" s="1"/>
  <c r="I255" i="18" s="1"/>
  <c r="M255" i="18" s="1"/>
  <c r="N255" i="18" s="1"/>
  <c r="C286" i="18" s="1"/>
  <c r="I286" i="18" s="1"/>
  <c r="I20" i="18"/>
  <c r="M55" i="18"/>
  <c r="N55" i="18" s="1"/>
  <c r="C84" i="18" s="1"/>
  <c r="I84" i="18" s="1"/>
  <c r="M13" i="18"/>
  <c r="N13" i="18" s="1"/>
  <c r="C42" i="18" s="1"/>
  <c r="I42" i="18" s="1"/>
  <c r="M40" i="18"/>
  <c r="N40" i="18" s="1"/>
  <c r="C69" i="18" s="1"/>
  <c r="I69" i="18" s="1"/>
  <c r="I15" i="18"/>
  <c r="I14" i="18"/>
  <c r="M22" i="18"/>
  <c r="N22" i="18" s="1"/>
  <c r="C51" i="18" s="1"/>
  <c r="I51" i="18" s="1"/>
  <c r="I29" i="18"/>
  <c r="M24" i="18"/>
  <c r="N24" i="18" s="1"/>
  <c r="C53" i="18" s="1"/>
  <c r="I53" i="18" s="1"/>
  <c r="I21" i="18"/>
  <c r="I17" i="18"/>
  <c r="I16" i="18"/>
  <c r="M21" i="19"/>
  <c r="N21" i="19" s="1"/>
  <c r="C50" i="19" s="1"/>
  <c r="I50" i="19" s="1"/>
  <c r="M17" i="19"/>
  <c r="N17" i="19" s="1"/>
  <c r="C46" i="19" s="1"/>
  <c r="I46" i="19" s="1"/>
  <c r="M18" i="19"/>
  <c r="N18" i="19" s="1"/>
  <c r="C47" i="19" s="1"/>
  <c r="I47" i="19" s="1"/>
  <c r="M51" i="19"/>
  <c r="N51" i="19" s="1"/>
  <c r="C82" i="19" s="1"/>
  <c r="I82" i="19" s="1"/>
  <c r="M44" i="19"/>
  <c r="N44" i="19" s="1"/>
  <c r="C75" i="19" s="1"/>
  <c r="I75" i="19" s="1"/>
  <c r="M45" i="19"/>
  <c r="N45" i="19" s="1"/>
  <c r="C76" i="19" s="1"/>
  <c r="I76" i="19" s="1"/>
  <c r="I23" i="19"/>
  <c r="M87" i="19"/>
  <c r="N87" i="19" s="1"/>
  <c r="C118" i="19" s="1"/>
  <c r="I118" i="19" s="1"/>
  <c r="M118" i="19" s="1"/>
  <c r="N118" i="19" s="1"/>
  <c r="C149" i="19" s="1"/>
  <c r="I149" i="19" s="1"/>
  <c r="M8" i="19"/>
  <c r="N8" i="19" s="1"/>
  <c r="C37" i="19" s="1"/>
  <c r="I37" i="19" s="1"/>
  <c r="M12" i="19"/>
  <c r="N12" i="19" s="1"/>
  <c r="C41" i="19" s="1"/>
  <c r="I41" i="19" s="1"/>
  <c r="M25" i="19"/>
  <c r="N25" i="19" s="1"/>
  <c r="C54" i="19" s="1"/>
  <c r="I54" i="19" s="1"/>
  <c r="I30" i="19"/>
  <c r="M39" i="19"/>
  <c r="N39" i="19" s="1"/>
  <c r="C70" i="19" s="1"/>
  <c r="I70" i="19" s="1"/>
  <c r="M14" i="19"/>
  <c r="N14" i="19" s="1"/>
  <c r="C43" i="19" s="1"/>
  <c r="I43" i="19" s="1"/>
  <c r="M285" i="18" l="1"/>
  <c r="N285" i="18" s="1"/>
  <c r="M303" i="19"/>
  <c r="N303" i="19" s="1"/>
  <c r="M286" i="18"/>
  <c r="N286" i="18" s="1"/>
  <c r="M149" i="19"/>
  <c r="N149" i="19"/>
  <c r="C180" i="19" s="1"/>
  <c r="I180" i="19" s="1"/>
  <c r="M180" i="19" s="1"/>
  <c r="N180" i="19" s="1"/>
  <c r="C211" i="19" s="1"/>
  <c r="I211" i="19" s="1"/>
  <c r="M211" i="19" s="1"/>
  <c r="N211" i="19" s="1"/>
  <c r="C244" i="19" s="1"/>
  <c r="I244" i="19" s="1"/>
  <c r="M244" i="19" s="1"/>
  <c r="N244" i="19" s="1"/>
  <c r="C277" i="19" s="1"/>
  <c r="I277" i="19" s="1"/>
  <c r="M53" i="18"/>
  <c r="N53" i="18" s="1"/>
  <c r="C82" i="18" s="1"/>
  <c r="I82" i="18" s="1"/>
  <c r="M15" i="18"/>
  <c r="N15" i="18" s="1"/>
  <c r="C44" i="18" s="1"/>
  <c r="I44" i="18" s="1"/>
  <c r="M29" i="18"/>
  <c r="N29" i="18" s="1"/>
  <c r="C58" i="18" s="1"/>
  <c r="I58" i="18" s="1"/>
  <c r="M14" i="18"/>
  <c r="N14" i="18" s="1"/>
  <c r="C43" i="18" s="1"/>
  <c r="I43" i="18" s="1"/>
  <c r="M17" i="18"/>
  <c r="N17" i="18" s="1"/>
  <c r="C46" i="18" s="1"/>
  <c r="I46" i="18" s="1"/>
  <c r="M51" i="18"/>
  <c r="N51" i="18" s="1"/>
  <c r="C80" i="18" s="1"/>
  <c r="M21" i="18"/>
  <c r="N21" i="18" s="1"/>
  <c r="C50" i="18" s="1"/>
  <c r="I50" i="18" s="1"/>
  <c r="M69" i="18"/>
  <c r="N69" i="18" s="1"/>
  <c r="C98" i="18" s="1"/>
  <c r="I98" i="18" s="1"/>
  <c r="M84" i="18"/>
  <c r="N84" i="18" s="1"/>
  <c r="C113" i="18" s="1"/>
  <c r="I113" i="18" s="1"/>
  <c r="M16" i="18"/>
  <c r="N16" i="18" s="1"/>
  <c r="C45" i="18" s="1"/>
  <c r="I45" i="18" s="1"/>
  <c r="I9" i="18"/>
  <c r="M42" i="18"/>
  <c r="N42" i="18" s="1"/>
  <c r="C71" i="18" s="1"/>
  <c r="I71" i="18" s="1"/>
  <c r="M20" i="18"/>
  <c r="N20" i="18" s="1"/>
  <c r="C49" i="18" s="1"/>
  <c r="I49" i="18" s="1"/>
  <c r="M30" i="19"/>
  <c r="N30" i="19" s="1"/>
  <c r="C60" i="19" s="1"/>
  <c r="I60" i="19" s="1"/>
  <c r="M41" i="19"/>
  <c r="N41" i="19" s="1"/>
  <c r="C72" i="19" s="1"/>
  <c r="I72" i="19" s="1"/>
  <c r="M76" i="19"/>
  <c r="N76" i="19" s="1"/>
  <c r="C107" i="19" s="1"/>
  <c r="I107" i="19" s="1"/>
  <c r="M82" i="19"/>
  <c r="N82" i="19" s="1"/>
  <c r="C113" i="19" s="1"/>
  <c r="I113" i="19" s="1"/>
  <c r="M113" i="19" s="1"/>
  <c r="N113" i="19" s="1"/>
  <c r="C144" i="19" s="1"/>
  <c r="I144" i="19" s="1"/>
  <c r="M46" i="19"/>
  <c r="N46" i="19" s="1"/>
  <c r="C77" i="19" s="1"/>
  <c r="I77" i="19" s="1"/>
  <c r="M43" i="19"/>
  <c r="N43" i="19" s="1"/>
  <c r="C74" i="19" s="1"/>
  <c r="I74" i="19" s="1"/>
  <c r="M70" i="19"/>
  <c r="N70" i="19" s="1"/>
  <c r="C101" i="19" s="1"/>
  <c r="M54" i="19"/>
  <c r="N54" i="19" s="1"/>
  <c r="C85" i="19" s="1"/>
  <c r="I85" i="19" s="1"/>
  <c r="M37" i="19"/>
  <c r="N37" i="19" s="1"/>
  <c r="C68" i="19" s="1"/>
  <c r="I68" i="19" s="1"/>
  <c r="M23" i="19"/>
  <c r="N23" i="19" s="1"/>
  <c r="C52" i="19" s="1"/>
  <c r="I52" i="19" s="1"/>
  <c r="M75" i="19"/>
  <c r="N75" i="19" s="1"/>
  <c r="C106" i="19" s="1"/>
  <c r="I106" i="19" s="1"/>
  <c r="M47" i="19"/>
  <c r="N47" i="19" s="1"/>
  <c r="C78" i="19" s="1"/>
  <c r="I78" i="19" s="1"/>
  <c r="M50" i="19"/>
  <c r="N50" i="19" s="1"/>
  <c r="C81" i="19" s="1"/>
  <c r="I81" i="19" s="1"/>
  <c r="M72" i="19" l="1"/>
  <c r="N72" i="19" s="1"/>
  <c r="C103" i="19" s="1"/>
  <c r="I103" i="19" s="1"/>
  <c r="M277" i="19"/>
  <c r="N277" i="19" s="1"/>
  <c r="C310" i="19" s="1"/>
  <c r="I310" i="19" s="1"/>
  <c r="M310" i="19" s="1"/>
  <c r="N310" i="19" s="1"/>
  <c r="M144" i="19"/>
  <c r="N144" i="19" s="1"/>
  <c r="C175" i="19" s="1"/>
  <c r="I175" i="19" s="1"/>
  <c r="M175" i="19" s="1"/>
  <c r="N175" i="19" s="1"/>
  <c r="C206" i="19" s="1"/>
  <c r="I206" i="19" s="1"/>
  <c r="M107" i="19"/>
  <c r="N107" i="19"/>
  <c r="C138" i="19" s="1"/>
  <c r="I138" i="19" s="1"/>
  <c r="M106" i="19"/>
  <c r="N106" i="19" s="1"/>
  <c r="C137" i="19" s="1"/>
  <c r="I137" i="19" s="1"/>
  <c r="M137" i="19" s="1"/>
  <c r="N137" i="19" s="1"/>
  <c r="C168" i="19" s="1"/>
  <c r="I168" i="19" s="1"/>
  <c r="M168" i="19" s="1"/>
  <c r="N168" i="19" s="1"/>
  <c r="C199" i="19" s="1"/>
  <c r="I199" i="19" s="1"/>
  <c r="M113" i="18"/>
  <c r="N113" i="18" s="1"/>
  <c r="C142" i="18" s="1"/>
  <c r="I142" i="18" s="1"/>
  <c r="M98" i="18"/>
  <c r="N98" i="18" s="1"/>
  <c r="C127" i="18" s="1"/>
  <c r="I101" i="19"/>
  <c r="M49" i="18"/>
  <c r="N49" i="18" s="1"/>
  <c r="C78" i="18" s="1"/>
  <c r="I78" i="18" s="1"/>
  <c r="M58" i="18"/>
  <c r="N58" i="18" s="1"/>
  <c r="C87" i="18" s="1"/>
  <c r="I87" i="18" s="1"/>
  <c r="M71" i="18"/>
  <c r="N71" i="18" s="1"/>
  <c r="C100" i="18" s="1"/>
  <c r="I100" i="18" s="1"/>
  <c r="M45" i="18"/>
  <c r="N45" i="18" s="1"/>
  <c r="C74" i="18" s="1"/>
  <c r="I74" i="18" s="1"/>
  <c r="M44" i="18"/>
  <c r="N44" i="18" s="1"/>
  <c r="C73" i="18" s="1"/>
  <c r="I73" i="18" s="1"/>
  <c r="M82" i="18"/>
  <c r="N82" i="18" s="1"/>
  <c r="C111" i="18" s="1"/>
  <c r="I111" i="18" s="1"/>
  <c r="M9" i="18"/>
  <c r="N9" i="18" s="1"/>
  <c r="C38" i="18" s="1"/>
  <c r="I38" i="18" s="1"/>
  <c r="M43" i="18"/>
  <c r="N43" i="18" s="1"/>
  <c r="C72" i="18" s="1"/>
  <c r="I72" i="18" s="1"/>
  <c r="M50" i="18"/>
  <c r="N50" i="18" s="1"/>
  <c r="C79" i="18" s="1"/>
  <c r="I79" i="18" s="1"/>
  <c r="M46" i="18"/>
  <c r="N46" i="18" s="1"/>
  <c r="C75" i="18" s="1"/>
  <c r="I75" i="18" s="1"/>
  <c r="M75" i="18" s="1"/>
  <c r="M85" i="19"/>
  <c r="N85" i="19" s="1"/>
  <c r="C116" i="19" s="1"/>
  <c r="I116" i="19" s="1"/>
  <c r="M81" i="19"/>
  <c r="N81" i="19" s="1"/>
  <c r="C112" i="19" s="1"/>
  <c r="I112" i="19" s="1"/>
  <c r="M68" i="19"/>
  <c r="N68" i="19" s="1"/>
  <c r="C99" i="19" s="1"/>
  <c r="I99" i="19" s="1"/>
  <c r="M77" i="19"/>
  <c r="N77" i="19" s="1"/>
  <c r="C108" i="19" s="1"/>
  <c r="I108" i="19" s="1"/>
  <c r="M108" i="19" s="1"/>
  <c r="N108" i="19" s="1"/>
  <c r="C139" i="19" s="1"/>
  <c r="I139" i="19" s="1"/>
  <c r="M60" i="19"/>
  <c r="N60" i="19" s="1"/>
  <c r="M52" i="19"/>
  <c r="N52" i="19" s="1"/>
  <c r="C83" i="19" s="1"/>
  <c r="I83" i="19" s="1"/>
  <c r="M78" i="19"/>
  <c r="N78" i="19" s="1"/>
  <c r="C109" i="19" s="1"/>
  <c r="I109" i="19" s="1"/>
  <c r="M74" i="19"/>
  <c r="N74" i="19" s="1"/>
  <c r="C105" i="19" s="1"/>
  <c r="I105" i="19" s="1"/>
  <c r="M103" i="19" l="1"/>
  <c r="N103" i="19"/>
  <c r="M83" i="19"/>
  <c r="N83" i="19"/>
  <c r="C91" i="19"/>
  <c r="I91" i="19" s="1"/>
  <c r="M91" i="19" s="1"/>
  <c r="N91" i="19" s="1"/>
  <c r="I123" i="19" s="1"/>
  <c r="M199" i="19"/>
  <c r="N199" i="19" s="1"/>
  <c r="C232" i="19" s="1"/>
  <c r="I232" i="19" s="1"/>
  <c r="M232" i="19" s="1"/>
  <c r="N232" i="19" s="1"/>
  <c r="C265" i="19" s="1"/>
  <c r="I265" i="19" s="1"/>
  <c r="M206" i="19"/>
  <c r="N206" i="19" s="1"/>
  <c r="C239" i="19" s="1"/>
  <c r="I239" i="19" s="1"/>
  <c r="M142" i="18"/>
  <c r="N142" i="18" s="1"/>
  <c r="C171" i="18" s="1"/>
  <c r="I171" i="18" s="1"/>
  <c r="M171" i="18" s="1"/>
  <c r="N171" i="18" s="1"/>
  <c r="C200" i="18" s="1"/>
  <c r="I200" i="18" s="1"/>
  <c r="M100" i="18"/>
  <c r="N100" i="18" s="1"/>
  <c r="C129" i="18" s="1"/>
  <c r="I129" i="18" s="1"/>
  <c r="M99" i="19"/>
  <c r="N99" i="19" s="1"/>
  <c r="C130" i="19" s="1"/>
  <c r="I130" i="19" s="1"/>
  <c r="M130" i="19" s="1"/>
  <c r="N130" i="19" s="1"/>
  <c r="M112" i="19"/>
  <c r="N112" i="19" s="1"/>
  <c r="C143" i="19" s="1"/>
  <c r="I143" i="19" s="1"/>
  <c r="M143" i="19" s="1"/>
  <c r="N143" i="19" s="1"/>
  <c r="C174" i="19" s="1"/>
  <c r="I174" i="19" s="1"/>
  <c r="M174" i="19" s="1"/>
  <c r="N174" i="19" s="1"/>
  <c r="C205" i="19" s="1"/>
  <c r="I205" i="19" s="1"/>
  <c r="M138" i="19"/>
  <c r="N138" i="19" s="1"/>
  <c r="C169" i="19" s="1"/>
  <c r="I169" i="19" s="1"/>
  <c r="M169" i="19" s="1"/>
  <c r="N169" i="19" s="1"/>
  <c r="C200" i="19" s="1"/>
  <c r="I200" i="19" s="1"/>
  <c r="M139" i="19"/>
  <c r="N139" i="19" s="1"/>
  <c r="C170" i="19" s="1"/>
  <c r="I170" i="19" s="1"/>
  <c r="M170" i="19" s="1"/>
  <c r="N170" i="19" s="1"/>
  <c r="C201" i="19" s="1"/>
  <c r="I201" i="19" s="1"/>
  <c r="M201" i="19" s="1"/>
  <c r="N201" i="19" s="1"/>
  <c r="C234" i="19" s="1"/>
  <c r="I234" i="19" s="1"/>
  <c r="M234" i="19" s="1"/>
  <c r="N234" i="19" s="1"/>
  <c r="C267" i="19" s="1"/>
  <c r="I267" i="19" s="1"/>
  <c r="M105" i="19"/>
  <c r="N105" i="19" s="1"/>
  <c r="C136" i="19" s="1"/>
  <c r="I136" i="19" s="1"/>
  <c r="M136" i="19" s="1"/>
  <c r="N136" i="19" s="1"/>
  <c r="C167" i="19" s="1"/>
  <c r="I167" i="19" s="1"/>
  <c r="M111" i="18"/>
  <c r="N111" i="18" s="1"/>
  <c r="C140" i="18" s="1"/>
  <c r="M109" i="19"/>
  <c r="N109" i="19" s="1"/>
  <c r="C140" i="19" s="1"/>
  <c r="I140" i="19" s="1"/>
  <c r="M140" i="19" s="1"/>
  <c r="N140" i="19" s="1"/>
  <c r="M116" i="19"/>
  <c r="N116" i="19" s="1"/>
  <c r="C147" i="19" s="1"/>
  <c r="I147" i="19" s="1"/>
  <c r="M147" i="19" s="1"/>
  <c r="N147" i="19" s="1"/>
  <c r="M101" i="19"/>
  <c r="N101" i="19" s="1"/>
  <c r="C132" i="19" s="1"/>
  <c r="I132" i="19" s="1"/>
  <c r="M79" i="18"/>
  <c r="N79" i="18" s="1"/>
  <c r="C108" i="18" s="1"/>
  <c r="I108" i="18" s="1"/>
  <c r="M87" i="18"/>
  <c r="N87" i="18" s="1"/>
  <c r="I116" i="18" s="1"/>
  <c r="M78" i="18"/>
  <c r="N78" i="18" s="1"/>
  <c r="C107" i="18" s="1"/>
  <c r="I107" i="18" s="1"/>
  <c r="M38" i="18"/>
  <c r="N38" i="18" s="1"/>
  <c r="C67" i="18" s="1"/>
  <c r="I67" i="18" s="1"/>
  <c r="M73" i="18"/>
  <c r="N73" i="18" s="1"/>
  <c r="C102" i="18" s="1"/>
  <c r="I102" i="18" s="1"/>
  <c r="N75" i="18"/>
  <c r="C104" i="18" s="1"/>
  <c r="I104" i="18" s="1"/>
  <c r="M72" i="18"/>
  <c r="N72" i="18" s="1"/>
  <c r="C101" i="18" s="1"/>
  <c r="I101" i="18" s="1"/>
  <c r="M74" i="18"/>
  <c r="N74" i="18" s="1"/>
  <c r="C103" i="18" s="1"/>
  <c r="I103" i="18" s="1"/>
  <c r="M103" i="18" s="1"/>
  <c r="N103" i="18" s="1"/>
  <c r="C132" i="18" s="1"/>
  <c r="I132" i="18" s="1"/>
  <c r="M132" i="18" s="1"/>
  <c r="N132" i="18" s="1"/>
  <c r="C161" i="18" s="1"/>
  <c r="I161" i="18" s="1"/>
  <c r="C134" i="19" l="1"/>
  <c r="I134" i="19" s="1"/>
  <c r="M134" i="19" s="1"/>
  <c r="N134" i="19" s="1"/>
  <c r="M200" i="18"/>
  <c r="N200" i="18" s="1"/>
  <c r="M239" i="19"/>
  <c r="N239" i="19" s="1"/>
  <c r="C272" i="19" s="1"/>
  <c r="I272" i="19" s="1"/>
  <c r="M265" i="19"/>
  <c r="N265" i="19" s="1"/>
  <c r="C298" i="19" s="1"/>
  <c r="I298" i="19" s="1"/>
  <c r="M267" i="19"/>
  <c r="N267" i="19" s="1"/>
  <c r="C300" i="19" s="1"/>
  <c r="I300" i="19" s="1"/>
  <c r="M300" i="19" s="1"/>
  <c r="N300" i="19" s="1"/>
  <c r="M205" i="19"/>
  <c r="N205" i="19" s="1"/>
  <c r="C238" i="19" s="1"/>
  <c r="I238" i="19" s="1"/>
  <c r="M238" i="19" s="1"/>
  <c r="N238" i="19" s="1"/>
  <c r="C271" i="19" s="1"/>
  <c r="I271" i="19" s="1"/>
  <c r="M167" i="19"/>
  <c r="N167" i="19" s="1"/>
  <c r="C198" i="19" s="1"/>
  <c r="I198" i="19" s="1"/>
  <c r="M200" i="19"/>
  <c r="N200" i="19" s="1"/>
  <c r="C233" i="19" s="1"/>
  <c r="I233" i="19" s="1"/>
  <c r="M161" i="18"/>
  <c r="N161" i="18" s="1"/>
  <c r="C190" i="18" s="1"/>
  <c r="I190" i="18" s="1"/>
  <c r="M190" i="18" s="1"/>
  <c r="N190" i="18" s="1"/>
  <c r="C221" i="18" s="1"/>
  <c r="I221" i="18" s="1"/>
  <c r="M221" i="18" s="1"/>
  <c r="N221" i="18" s="1"/>
  <c r="C252" i="18" s="1"/>
  <c r="I252" i="18" s="1"/>
  <c r="M129" i="18"/>
  <c r="N129" i="18" s="1"/>
  <c r="C158" i="18" s="1"/>
  <c r="I158" i="18" s="1"/>
  <c r="M102" i="18"/>
  <c r="N102" i="18" s="1"/>
  <c r="C131" i="18" s="1"/>
  <c r="I131" i="18" s="1"/>
  <c r="M131" i="18" s="1"/>
  <c r="N131" i="18" s="1"/>
  <c r="C160" i="18" s="1"/>
  <c r="I160" i="18" s="1"/>
  <c r="M107" i="18"/>
  <c r="N107" i="18" s="1"/>
  <c r="C136" i="18" s="1"/>
  <c r="I136" i="18" s="1"/>
  <c r="M136" i="18" s="1"/>
  <c r="N136" i="18" s="1"/>
  <c r="C165" i="18" s="1"/>
  <c r="I165" i="18" s="1"/>
  <c r="M101" i="18"/>
  <c r="N101" i="18" s="1"/>
  <c r="C130" i="18" s="1"/>
  <c r="I130" i="18" s="1"/>
  <c r="M130" i="18" s="1"/>
  <c r="N130" i="18" s="1"/>
  <c r="C159" i="18" s="1"/>
  <c r="I159" i="18" s="1"/>
  <c r="M108" i="18"/>
  <c r="N108" i="18" s="1"/>
  <c r="C137" i="18" s="1"/>
  <c r="I137" i="18" s="1"/>
  <c r="M137" i="18" s="1"/>
  <c r="N137" i="18" s="1"/>
  <c r="C166" i="18" s="1"/>
  <c r="I166" i="18" s="1"/>
  <c r="M132" i="19"/>
  <c r="N132" i="19" s="1"/>
  <c r="M123" i="19"/>
  <c r="N123" i="19" s="1"/>
  <c r="I154" i="19" s="1"/>
  <c r="M116" i="18"/>
  <c r="N116" i="18" s="1"/>
  <c r="C145" i="18" s="1"/>
  <c r="I145" i="18" s="1"/>
  <c r="M104" i="18"/>
  <c r="N104" i="18" s="1"/>
  <c r="C133" i="18" s="1"/>
  <c r="I7" i="18"/>
  <c r="M67" i="18"/>
  <c r="N67" i="18" s="1"/>
  <c r="C96" i="18" s="1"/>
  <c r="I96" i="18" s="1"/>
  <c r="C231" i="18" l="1"/>
  <c r="I231" i="18" s="1"/>
  <c r="M231" i="18" s="1"/>
  <c r="N231" i="18" s="1"/>
  <c r="C262" i="18" s="1"/>
  <c r="I262" i="18" s="1"/>
  <c r="M262" i="18" s="1"/>
  <c r="N262" i="18" s="1"/>
  <c r="C293" i="18" s="1"/>
  <c r="I293" i="18" s="1"/>
  <c r="M271" i="19"/>
  <c r="N271" i="19" s="1"/>
  <c r="C304" i="19" s="1"/>
  <c r="I304" i="19" s="1"/>
  <c r="M298" i="19"/>
  <c r="N298" i="19"/>
  <c r="M233" i="19"/>
  <c r="N233" i="19" s="1"/>
  <c r="C266" i="19" s="1"/>
  <c r="I266" i="19" s="1"/>
  <c r="M272" i="19"/>
  <c r="N272" i="19" s="1"/>
  <c r="C305" i="19" s="1"/>
  <c r="I305" i="19" s="1"/>
  <c r="M305" i="19" s="1"/>
  <c r="N305" i="19" s="1"/>
  <c r="M252" i="18"/>
  <c r="N252" i="18" s="1"/>
  <c r="C283" i="18" s="1"/>
  <c r="I283" i="18" s="1"/>
  <c r="M198" i="19"/>
  <c r="N198" i="19" s="1"/>
  <c r="C231" i="19" s="1"/>
  <c r="I231" i="19" s="1"/>
  <c r="M165" i="18"/>
  <c r="N165" i="18" s="1"/>
  <c r="C194" i="18" s="1"/>
  <c r="I194" i="18" s="1"/>
  <c r="M159" i="18"/>
  <c r="N159" i="18" s="1"/>
  <c r="C188" i="18" s="1"/>
  <c r="I188" i="18" s="1"/>
  <c r="M188" i="18" s="1"/>
  <c r="N188" i="18" s="1"/>
  <c r="C219" i="18" s="1"/>
  <c r="I219" i="18" s="1"/>
  <c r="M160" i="18"/>
  <c r="N160" i="18" s="1"/>
  <c r="C189" i="18" s="1"/>
  <c r="I189" i="18" s="1"/>
  <c r="M158" i="18"/>
  <c r="N158" i="18" s="1"/>
  <c r="C187" i="18" s="1"/>
  <c r="I187" i="18" s="1"/>
  <c r="M166" i="18"/>
  <c r="N166" i="18" s="1"/>
  <c r="C195" i="18" s="1"/>
  <c r="I195" i="18" s="1"/>
  <c r="M145" i="18"/>
  <c r="N145" i="18" s="1"/>
  <c r="C174" i="18" s="1"/>
  <c r="I174" i="18" s="1"/>
  <c r="M154" i="19"/>
  <c r="N154" i="19" s="1"/>
  <c r="I185" i="19" s="1"/>
  <c r="M96" i="18"/>
  <c r="N96" i="18" s="1"/>
  <c r="C125" i="18" s="1"/>
  <c r="M7" i="18"/>
  <c r="N7" i="18" s="1"/>
  <c r="C36" i="18" s="1"/>
  <c r="I36" i="18" s="1"/>
  <c r="M231" i="19" l="1"/>
  <c r="N231" i="19" s="1"/>
  <c r="C264" i="19" s="1"/>
  <c r="I264" i="19" s="1"/>
  <c r="M304" i="19"/>
  <c r="N304" i="19" s="1"/>
  <c r="M266" i="19"/>
  <c r="N266" i="19" s="1"/>
  <c r="C299" i="19" s="1"/>
  <c r="I299" i="19" s="1"/>
  <c r="M299" i="19" s="1"/>
  <c r="N299" i="19" s="1"/>
  <c r="M283" i="18"/>
  <c r="N283" i="18" s="1"/>
  <c r="M293" i="18"/>
  <c r="N293" i="18" s="1"/>
  <c r="M219" i="18"/>
  <c r="N219" i="18" s="1"/>
  <c r="C250" i="18" s="1"/>
  <c r="I250" i="18" s="1"/>
  <c r="M185" i="19"/>
  <c r="N185" i="19" s="1"/>
  <c r="I218" i="19" s="1"/>
  <c r="M195" i="18"/>
  <c r="N195" i="18" s="1"/>
  <c r="C226" i="18" s="1"/>
  <c r="I226" i="18" s="1"/>
  <c r="M194" i="18"/>
  <c r="N194" i="18" s="1"/>
  <c r="C225" i="18" s="1"/>
  <c r="I225" i="18" s="1"/>
  <c r="M189" i="18"/>
  <c r="N189" i="18" s="1"/>
  <c r="C220" i="18" s="1"/>
  <c r="I220" i="18" s="1"/>
  <c r="M174" i="18"/>
  <c r="N174" i="18" s="1"/>
  <c r="C205" i="18" s="1"/>
  <c r="I205" i="18" s="1"/>
  <c r="M187" i="18"/>
  <c r="N187" i="18" s="1"/>
  <c r="C218" i="18" s="1"/>
  <c r="I218" i="18" s="1"/>
  <c r="M218" i="18" s="1"/>
  <c r="N218" i="18" s="1"/>
  <c r="C249" i="18" s="1"/>
  <c r="I249" i="18" s="1"/>
  <c r="M36" i="18"/>
  <c r="N36" i="18" s="1"/>
  <c r="C65" i="18" s="1"/>
  <c r="I65" i="18" s="1"/>
  <c r="M218" i="19" l="1"/>
  <c r="N218" i="19" s="1"/>
  <c r="M264" i="19"/>
  <c r="N264" i="19" s="1"/>
  <c r="C297" i="19" s="1"/>
  <c r="I297" i="19" s="1"/>
  <c r="M297" i="19" s="1"/>
  <c r="N297" i="19" s="1"/>
  <c r="M249" i="18"/>
  <c r="N249" i="18" s="1"/>
  <c r="C280" i="18" s="1"/>
  <c r="I280" i="18" s="1"/>
  <c r="M250" i="18"/>
  <c r="N250" i="18" s="1"/>
  <c r="C281" i="18" s="1"/>
  <c r="I281" i="18" s="1"/>
  <c r="M281" i="18" s="1"/>
  <c r="N281" i="18" s="1"/>
  <c r="M225" i="18"/>
  <c r="N225" i="18" s="1"/>
  <c r="C256" i="18" s="1"/>
  <c r="I256" i="18" s="1"/>
  <c r="M220" i="18"/>
  <c r="N220" i="18" s="1"/>
  <c r="C251" i="18" s="1"/>
  <c r="I251" i="18" s="1"/>
  <c r="M226" i="18"/>
  <c r="N226" i="18" s="1"/>
  <c r="C257" i="18" s="1"/>
  <c r="I257" i="18" s="1"/>
  <c r="M205" i="18"/>
  <c r="N205" i="18" s="1"/>
  <c r="C236" i="18" s="1"/>
  <c r="I236" i="18" s="1"/>
  <c r="M236" i="18" s="1"/>
  <c r="N236" i="18" s="1"/>
  <c r="C267" i="18" s="1"/>
  <c r="I267" i="18" s="1"/>
  <c r="M267" i="18" s="1"/>
  <c r="N267" i="18" s="1"/>
  <c r="C298" i="18" s="1"/>
  <c r="I298" i="18" s="1"/>
  <c r="M65" i="18"/>
  <c r="N65" i="18" s="1"/>
  <c r="C94" i="18" s="1"/>
  <c r="C251" i="19" l="1"/>
  <c r="I251" i="19" s="1"/>
  <c r="M280" i="18"/>
  <c r="N280" i="18" s="1"/>
  <c r="M298" i="18"/>
  <c r="N298" i="18" s="1"/>
  <c r="M251" i="18"/>
  <c r="N251" i="18" s="1"/>
  <c r="C282" i="18" s="1"/>
  <c r="I282" i="18" s="1"/>
  <c r="M257" i="18"/>
  <c r="N257" i="18" s="1"/>
  <c r="C288" i="18" s="1"/>
  <c r="I288" i="18" s="1"/>
  <c r="M256" i="18"/>
  <c r="N256" i="18" s="1"/>
  <c r="C287" i="18" s="1"/>
  <c r="I287" i="18" s="1"/>
  <c r="M287" i="18" s="1"/>
  <c r="N287" i="18" s="1"/>
  <c r="I94" i="18"/>
  <c r="M251" i="19" l="1"/>
  <c r="N251" i="19" s="1"/>
  <c r="C284" i="19" s="1"/>
  <c r="I284" i="19" s="1"/>
  <c r="M284" i="19" s="1"/>
  <c r="N284" i="19" s="1"/>
  <c r="C317" i="19" s="1"/>
  <c r="I317" i="19" s="1"/>
  <c r="M317" i="19" s="1"/>
  <c r="N317" i="19" s="1"/>
  <c r="M288" i="18"/>
  <c r="N288" i="18" s="1"/>
  <c r="M282" i="18"/>
  <c r="N282" i="18" s="1"/>
  <c r="M94" i="18"/>
  <c r="N94" i="18" s="1"/>
  <c r="C123" i="18" s="1"/>
  <c r="C31" i="19" l="1"/>
  <c r="I7" i="19"/>
  <c r="I31" i="19" l="1"/>
  <c r="M7" i="19"/>
  <c r="M31" i="19" s="1"/>
  <c r="N7" i="19" l="1"/>
  <c r="C36" i="19" s="1"/>
  <c r="N31" i="19" l="1"/>
  <c r="C61" i="19"/>
  <c r="I36" i="19"/>
  <c r="M36" i="19" l="1"/>
  <c r="M61" i="19" s="1"/>
  <c r="I61" i="19"/>
  <c r="N36" i="19" l="1"/>
  <c r="C67" i="19" s="1"/>
  <c r="N61" i="19" l="1"/>
  <c r="I6" i="18"/>
  <c r="C92" i="19"/>
  <c r="I67" i="19"/>
  <c r="C30" i="18" l="1"/>
  <c r="M6" i="18"/>
  <c r="M30" i="18" s="1"/>
  <c r="I30" i="18"/>
  <c r="M67" i="19"/>
  <c r="N67" i="19" s="1"/>
  <c r="C98" i="19" s="1"/>
  <c r="I98" i="19" s="1"/>
  <c r="M98" i="19" l="1"/>
  <c r="N98" i="19" s="1"/>
  <c r="N6" i="18"/>
  <c r="N30" i="18" s="1"/>
  <c r="C129" i="19" l="1"/>
  <c r="I129" i="19" s="1"/>
  <c r="M129" i="19" s="1"/>
  <c r="C35" i="18"/>
  <c r="I35" i="18" s="1"/>
  <c r="C59" i="18" l="1"/>
  <c r="N129" i="19"/>
  <c r="C160" i="19" s="1"/>
  <c r="I160" i="19" s="1"/>
  <c r="I59" i="18"/>
  <c r="M35" i="18"/>
  <c r="M59" i="18" s="1"/>
  <c r="N35" i="18" l="1"/>
  <c r="N59" i="18" s="1"/>
  <c r="M160" i="19"/>
  <c r="N160" i="19" s="1"/>
  <c r="C191" i="19" s="1"/>
  <c r="I191" i="19" s="1"/>
  <c r="M191" i="19" s="1"/>
  <c r="C64" i="18" l="1"/>
  <c r="C88" i="18" s="1"/>
  <c r="N191" i="19"/>
  <c r="C224" i="19" s="1"/>
  <c r="I224" i="19" s="1"/>
  <c r="I64" i="18" l="1"/>
  <c r="M64" i="18" s="1"/>
  <c r="M224" i="19"/>
  <c r="N224" i="19" s="1"/>
  <c r="C257" i="19" l="1"/>
  <c r="I257" i="19" s="1"/>
  <c r="M257" i="19"/>
  <c r="N257" i="19" s="1"/>
  <c r="N64" i="18"/>
  <c r="C93" i="18" s="1"/>
  <c r="I93" i="18" s="1"/>
  <c r="C290" i="19" l="1"/>
  <c r="I290" i="19" s="1"/>
  <c r="M93" i="18"/>
  <c r="N93" i="18"/>
  <c r="C122" i="18" s="1"/>
  <c r="I122" i="18" s="1"/>
  <c r="M290" i="19" l="1"/>
  <c r="N290" i="19"/>
  <c r="M122" i="18"/>
  <c r="N122" i="18" s="1"/>
  <c r="C151" i="18" s="1"/>
  <c r="I151" i="18" l="1"/>
  <c r="M151" i="18" s="1"/>
  <c r="C6" i="15" l="1"/>
  <c r="C6" i="20" s="1"/>
  <c r="N151" i="18" l="1"/>
  <c r="C180" i="18" s="1"/>
  <c r="C7" i="15"/>
  <c r="C7" i="20" s="1"/>
  <c r="I180" i="18" l="1"/>
  <c r="M180" i="18" s="1"/>
  <c r="B6" i="15"/>
  <c r="B6" i="20" s="1"/>
  <c r="D6" i="20" s="1"/>
  <c r="H6" i="20" s="1"/>
  <c r="J6" i="20" s="1"/>
  <c r="K6" i="20" s="1"/>
  <c r="D6" i="15" l="1"/>
  <c r="F6" i="15" s="1"/>
  <c r="G6" i="15" s="1"/>
  <c r="E7" i="15"/>
  <c r="E8" i="15" s="1"/>
  <c r="E9" i="15" s="1"/>
  <c r="E10" i="15" s="1"/>
  <c r="N180" i="18" l="1"/>
  <c r="C211" i="18" s="1"/>
  <c r="I211" i="18" s="1"/>
  <c r="E11" i="15"/>
  <c r="M211" i="18" l="1"/>
  <c r="N211" i="18" s="1"/>
  <c r="C242" i="18" s="1"/>
  <c r="I242" i="18" s="1"/>
  <c r="E12" i="15"/>
  <c r="E13" i="15" s="1"/>
  <c r="E14" i="15" s="1"/>
  <c r="E15" i="15" s="1"/>
  <c r="B7" i="15"/>
  <c r="B7" i="20" s="1"/>
  <c r="D7" i="20" s="1"/>
  <c r="H7" i="20" s="1"/>
  <c r="J7" i="20" s="1"/>
  <c r="K7" i="20" s="1"/>
  <c r="D7" i="15" l="1"/>
  <c r="F7" i="15" s="1"/>
  <c r="G7" i="15" s="1"/>
  <c r="M242" i="18"/>
  <c r="N242" i="18" s="1"/>
  <c r="C273" i="18" s="1"/>
  <c r="I273" i="18" s="1"/>
  <c r="C33" i="14"/>
  <c r="C13" i="14"/>
  <c r="M273" i="18" l="1"/>
  <c r="N273" i="18" s="1"/>
  <c r="C49" i="14"/>
  <c r="C57" i="14" s="1"/>
  <c r="G57" i="14" s="1"/>
  <c r="I84" i="19"/>
  <c r="E92" i="19" l="1"/>
  <c r="H80" i="18"/>
  <c r="D88" i="18"/>
  <c r="M84" i="19"/>
  <c r="M92" i="19" s="1"/>
  <c r="I92" i="19"/>
  <c r="C8" i="15" l="1"/>
  <c r="C8" i="20" s="1"/>
  <c r="H88" i="18"/>
  <c r="I80" i="18"/>
  <c r="N84" i="19"/>
  <c r="N92" i="19" l="1"/>
  <c r="C114" i="19"/>
  <c r="M80" i="18"/>
  <c r="M88" i="18" s="1"/>
  <c r="I88" i="18"/>
  <c r="I114" i="19" l="1"/>
  <c r="C124" i="19"/>
  <c r="B8" i="15"/>
  <c r="B8" i="20" s="1"/>
  <c r="D8" i="20" s="1"/>
  <c r="J8" i="20" s="1"/>
  <c r="K8" i="20" s="1"/>
  <c r="N80" i="18"/>
  <c r="D8" i="15" l="1"/>
  <c r="F8" i="15" s="1"/>
  <c r="G8" i="15" s="1"/>
  <c r="I124" i="19"/>
  <c r="M114" i="19"/>
  <c r="M124" i="19" s="1"/>
  <c r="N88" i="18"/>
  <c r="C109" i="18"/>
  <c r="C9" i="15" l="1"/>
  <c r="C9" i="20" s="1"/>
  <c r="N114" i="19"/>
  <c r="C145" i="19" s="1"/>
  <c r="I145" i="19" s="1"/>
  <c r="I109" i="18"/>
  <c r="C117" i="18"/>
  <c r="N124" i="19" l="1"/>
  <c r="C155" i="19"/>
  <c r="M145" i="19"/>
  <c r="M109" i="18"/>
  <c r="M117" i="18" s="1"/>
  <c r="B9" i="15" s="1"/>
  <c r="B9" i="20" s="1"/>
  <c r="D9" i="20" s="1"/>
  <c r="H9" i="20" s="1"/>
  <c r="J9" i="20" s="1"/>
  <c r="K9" i="20" s="1"/>
  <c r="I117" i="18"/>
  <c r="D9" i="15" l="1"/>
  <c r="F9" i="15" s="1"/>
  <c r="G9" i="15" s="1"/>
  <c r="N109" i="18"/>
  <c r="N145" i="19"/>
  <c r="M135" i="19" l="1"/>
  <c r="D127" i="18"/>
  <c r="H123" i="18"/>
  <c r="I141" i="19"/>
  <c r="M141" i="19" s="1"/>
  <c r="N141" i="19" s="1"/>
  <c r="C171" i="19" s="1"/>
  <c r="I171" i="19" s="1"/>
  <c r="M171" i="19" s="1"/>
  <c r="N171" i="19" s="1"/>
  <c r="D133" i="18"/>
  <c r="H133" i="18" s="1"/>
  <c r="I148" i="19"/>
  <c r="M148" i="19" s="1"/>
  <c r="N148" i="19" s="1"/>
  <c r="C178" i="19" s="1"/>
  <c r="I178" i="19" s="1"/>
  <c r="M178" i="19" s="1"/>
  <c r="D140" i="18"/>
  <c r="H140" i="18" s="1"/>
  <c r="I140" i="18" s="1"/>
  <c r="M140" i="18" s="1"/>
  <c r="N140" i="18" s="1"/>
  <c r="C169" i="18" s="1"/>
  <c r="N117" i="18"/>
  <c r="C138" i="18"/>
  <c r="N178" i="19" l="1"/>
  <c r="N135" i="19"/>
  <c r="C165" i="19" s="1"/>
  <c r="I165" i="19" s="1"/>
  <c r="M165" i="19" s="1"/>
  <c r="H127" i="18"/>
  <c r="I127" i="18" s="1"/>
  <c r="M127" i="18" s="1"/>
  <c r="N127" i="18" s="1"/>
  <c r="C156" i="18" s="1"/>
  <c r="I133" i="18"/>
  <c r="M133" i="18" s="1"/>
  <c r="N133" i="18" s="1"/>
  <c r="C162" i="18" s="1"/>
  <c r="I123" i="18"/>
  <c r="M123" i="18" s="1"/>
  <c r="N123" i="18" s="1"/>
  <c r="C152" i="18" s="1"/>
  <c r="C146" i="18"/>
  <c r="M131" i="19"/>
  <c r="N131" i="19" s="1"/>
  <c r="C161" i="19" s="1"/>
  <c r="N165" i="19" l="1"/>
  <c r="I161" i="19"/>
  <c r="D125" i="18"/>
  <c r="H125" i="18" l="1"/>
  <c r="M161" i="19"/>
  <c r="M146" i="19"/>
  <c r="D138" i="18"/>
  <c r="H138" i="18" s="1"/>
  <c r="I138" i="18" s="1"/>
  <c r="M138" i="18" s="1"/>
  <c r="I133" i="19"/>
  <c r="E155" i="19"/>
  <c r="N146" i="19" l="1"/>
  <c r="C176" i="19" s="1"/>
  <c r="I176" i="19" s="1"/>
  <c r="M176" i="19" s="1"/>
  <c r="N138" i="18"/>
  <c r="C167" i="18" s="1"/>
  <c r="N161" i="19"/>
  <c r="D146" i="18"/>
  <c r="I125" i="18"/>
  <c r="H146" i="18"/>
  <c r="M133" i="19"/>
  <c r="I155" i="19"/>
  <c r="N176" i="19" l="1"/>
  <c r="M125" i="18"/>
  <c r="I146" i="18"/>
  <c r="N133" i="19"/>
  <c r="M155" i="19"/>
  <c r="C10" i="15" l="1"/>
  <c r="C10" i="20" s="1"/>
  <c r="N155" i="19"/>
  <c r="C163" i="19"/>
  <c r="N125" i="18"/>
  <c r="M146" i="18"/>
  <c r="B10" i="15" s="1"/>
  <c r="B10" i="20" s="1"/>
  <c r="D10" i="20" l="1"/>
  <c r="H10" i="20" s="1"/>
  <c r="J10" i="20" s="1"/>
  <c r="K10" i="20" s="1"/>
  <c r="D10" i="15"/>
  <c r="F10" i="15" s="1"/>
  <c r="G10" i="15" s="1"/>
  <c r="N146" i="18"/>
  <c r="C154" i="18"/>
  <c r="I163" i="19"/>
  <c r="C186" i="19"/>
  <c r="M163" i="19" l="1"/>
  <c r="C175" i="18"/>
  <c r="N163" i="19" l="1"/>
  <c r="O186" i="19"/>
  <c r="E210" i="19" l="1"/>
  <c r="I210" i="19" s="1"/>
  <c r="M210" i="19" s="1"/>
  <c r="N210" i="19" l="1"/>
  <c r="D198" i="18"/>
  <c r="H198" i="18" s="1"/>
  <c r="P210" i="19"/>
  <c r="E184" i="19" l="1"/>
  <c r="P184" i="19" l="1"/>
  <c r="I184" i="19"/>
  <c r="D173" i="18"/>
  <c r="H173" i="18" s="1"/>
  <c r="I173" i="18" s="1"/>
  <c r="M173" i="18" s="1"/>
  <c r="N173" i="18" s="1"/>
  <c r="C204" i="18" s="1"/>
  <c r="E179" i="19"/>
  <c r="P179" i="19" s="1"/>
  <c r="M184" i="19" l="1"/>
  <c r="N184" i="19" s="1"/>
  <c r="C216" i="19" s="1"/>
  <c r="I216" i="19" s="1"/>
  <c r="M216" i="19" s="1"/>
  <c r="N216" i="19" s="1"/>
  <c r="I179" i="19"/>
  <c r="M179" i="19" s="1"/>
  <c r="D169" i="18"/>
  <c r="H169" i="18" s="1"/>
  <c r="I169" i="18" s="1"/>
  <c r="M169" i="18" s="1"/>
  <c r="N169" i="18" s="1"/>
  <c r="C198" i="18" s="1"/>
  <c r="I198" i="18" s="1"/>
  <c r="N179" i="19" l="1"/>
  <c r="C209" i="19" s="1"/>
  <c r="I209" i="19" s="1"/>
  <c r="M209" i="19" s="1"/>
  <c r="N209" i="19" s="1"/>
  <c r="M198" i="18"/>
  <c r="N198" i="18" s="1"/>
  <c r="E177" i="19"/>
  <c r="C229" i="18" l="1"/>
  <c r="C242" i="19"/>
  <c r="I242" i="19" s="1"/>
  <c r="M242" i="19" s="1"/>
  <c r="N242" i="19" s="1"/>
  <c r="I177" i="19"/>
  <c r="M177" i="19" s="1"/>
  <c r="D167" i="18"/>
  <c r="H167" i="18" s="1"/>
  <c r="P177" i="19"/>
  <c r="N177" i="19" l="1"/>
  <c r="C207" i="19" s="1"/>
  <c r="I207" i="19" s="1"/>
  <c r="M207" i="19" s="1"/>
  <c r="I167" i="18"/>
  <c r="M167" i="18" s="1"/>
  <c r="N167" i="18" s="1"/>
  <c r="C196" i="18" s="1"/>
  <c r="N207" i="19" l="1"/>
  <c r="E166" i="19"/>
  <c r="I166" i="19" s="1"/>
  <c r="M166" i="19" s="1"/>
  <c r="E172" i="19"/>
  <c r="E164" i="19"/>
  <c r="I164" i="19" s="1"/>
  <c r="N164" i="19" s="1"/>
  <c r="N166" i="19" l="1"/>
  <c r="C196" i="19" s="1"/>
  <c r="I196" i="19" s="1"/>
  <c r="M196" i="19" s="1"/>
  <c r="M164" i="19"/>
  <c r="I172" i="19"/>
  <c r="M172" i="19" s="1"/>
  <c r="D162" i="18"/>
  <c r="H162" i="18" s="1"/>
  <c r="I162" i="18" s="1"/>
  <c r="M162" i="18" s="1"/>
  <c r="N162" i="18" s="1"/>
  <c r="C191" i="18" s="1"/>
  <c r="P172" i="19"/>
  <c r="P164" i="19"/>
  <c r="D154" i="18"/>
  <c r="H154" i="18" s="1"/>
  <c r="I154" i="18" s="1"/>
  <c r="E162" i="19"/>
  <c r="P162" i="19" s="1"/>
  <c r="Q186" i="19"/>
  <c r="D156" i="18"/>
  <c r="H156" i="18" s="1"/>
  <c r="I156" i="18" s="1"/>
  <c r="M156" i="18" s="1"/>
  <c r="N156" i="18" s="1"/>
  <c r="C185" i="18" s="1"/>
  <c r="P166" i="19"/>
  <c r="N196" i="19" l="1"/>
  <c r="N172" i="19"/>
  <c r="C202" i="19" s="1"/>
  <c r="I202" i="19" s="1"/>
  <c r="M202" i="19" s="1"/>
  <c r="N202" i="19" s="1"/>
  <c r="M154" i="18"/>
  <c r="P186" i="19"/>
  <c r="I162" i="19"/>
  <c r="D152" i="18"/>
  <c r="E186" i="19"/>
  <c r="C194" i="19"/>
  <c r="I194" i="19" s="1"/>
  <c r="N154" i="18" l="1"/>
  <c r="C183" i="18" s="1"/>
  <c r="M194" i="19"/>
  <c r="N194" i="19" s="1"/>
  <c r="H152" i="18"/>
  <c r="D175" i="18"/>
  <c r="M162" i="19"/>
  <c r="I186" i="19"/>
  <c r="N162" i="19" l="1"/>
  <c r="C192" i="19" s="1"/>
  <c r="I152" i="18"/>
  <c r="H175" i="18"/>
  <c r="M186" i="19"/>
  <c r="N186" i="19" l="1"/>
  <c r="C11" i="15"/>
  <c r="C11" i="20" s="1"/>
  <c r="M152" i="18"/>
  <c r="M175" i="18" s="1"/>
  <c r="B11" i="15" s="1"/>
  <c r="B11" i="20" s="1"/>
  <c r="I175" i="18"/>
  <c r="I192" i="19"/>
  <c r="C219" i="19"/>
  <c r="D11" i="20" l="1"/>
  <c r="H11" i="20" s="1"/>
  <c r="J11" i="20" s="1"/>
  <c r="K11" i="20" s="1"/>
  <c r="D11" i="15"/>
  <c r="F11" i="15" s="1"/>
  <c r="G11" i="15" s="1"/>
  <c r="M192" i="19"/>
  <c r="N152" i="18"/>
  <c r="N192" i="19" l="1"/>
  <c r="C181" i="18"/>
  <c r="N175" i="18"/>
  <c r="C206" i="18" l="1"/>
  <c r="E217" i="19" l="1"/>
  <c r="P217" i="19" l="1"/>
  <c r="D204" i="18"/>
  <c r="H204" i="18" s="1"/>
  <c r="I204" i="18" s="1"/>
  <c r="M204" i="18" s="1"/>
  <c r="N204" i="18" s="1"/>
  <c r="C235" i="18" s="1"/>
  <c r="I217" i="19"/>
  <c r="M217" i="19" s="1"/>
  <c r="N217" i="19" s="1"/>
  <c r="C249" i="19" s="1"/>
  <c r="I249" i="19" s="1"/>
  <c r="M249" i="19" s="1"/>
  <c r="N249" i="19" s="1"/>
  <c r="Q219" i="19"/>
  <c r="P193" i="19" l="1"/>
  <c r="D181" i="18"/>
  <c r="I193" i="19"/>
  <c r="M193" i="19" l="1"/>
  <c r="N193" i="19" s="1"/>
  <c r="C225" i="19" s="1"/>
  <c r="H181" i="18"/>
  <c r="I181" i="18" l="1"/>
  <c r="I225" i="19"/>
  <c r="M225" i="19" l="1"/>
  <c r="M181" i="18"/>
  <c r="N225" i="19" l="1"/>
  <c r="N181" i="18"/>
  <c r="C212" i="18" l="1"/>
  <c r="E197" i="19" l="1"/>
  <c r="I197" i="19" s="1"/>
  <c r="M197" i="19" s="1"/>
  <c r="D185" i="18" l="1"/>
  <c r="H185" i="18" s="1"/>
  <c r="P197" i="19"/>
  <c r="I185" i="18" l="1"/>
  <c r="M185" i="18" s="1"/>
  <c r="N197" i="19"/>
  <c r="C229" i="19" s="1"/>
  <c r="I229" i="19" s="1"/>
  <c r="M229" i="19" s="1"/>
  <c r="N229" i="19" l="1"/>
  <c r="N185" i="18"/>
  <c r="C216" i="18" s="1"/>
  <c r="E203" i="19"/>
  <c r="D191" i="18" s="1"/>
  <c r="H191" i="18" s="1"/>
  <c r="I191" i="18" s="1"/>
  <c r="M191" i="18" s="1"/>
  <c r="N191" i="18" s="1"/>
  <c r="C222" i="18" s="1"/>
  <c r="P203" i="19" l="1"/>
  <c r="I203" i="19"/>
  <c r="M203" i="19" s="1"/>
  <c r="N203" i="19" s="1"/>
  <c r="C235" i="19" s="1"/>
  <c r="I235" i="19" s="1"/>
  <c r="M235" i="19" s="1"/>
  <c r="N235" i="19" s="1"/>
  <c r="E195" i="19" l="1"/>
  <c r="I195" i="19" s="1"/>
  <c r="M195" i="19" s="1"/>
  <c r="P195" i="19" l="1"/>
  <c r="D183" i="18"/>
  <c r="H183" i="18" s="1"/>
  <c r="N195" i="19"/>
  <c r="C227" i="19" s="1"/>
  <c r="I227" i="19" l="1"/>
  <c r="M227" i="19" s="1"/>
  <c r="I183" i="18"/>
  <c r="N227" i="19" l="1"/>
  <c r="M183" i="18"/>
  <c r="N183" i="18" l="1"/>
  <c r="C214" i="18" l="1"/>
  <c r="O219" i="19" l="1"/>
  <c r="E208" i="19" l="1"/>
  <c r="P208" i="19" s="1"/>
  <c r="P219" i="19" s="1"/>
  <c r="E219" i="19" l="1"/>
  <c r="I208" i="19"/>
  <c r="D196" i="18"/>
  <c r="H196" i="18" s="1"/>
  <c r="D206" i="18" l="1"/>
  <c r="M208" i="19"/>
  <c r="M219" i="19" s="1"/>
  <c r="I219" i="19"/>
  <c r="I196" i="18"/>
  <c r="H206" i="18"/>
  <c r="C12" i="15" l="1"/>
  <c r="C12" i="20" s="1"/>
  <c r="N208" i="19"/>
  <c r="C240" i="19" s="1"/>
  <c r="I240" i="19" s="1"/>
  <c r="M196" i="18"/>
  <c r="I206" i="18"/>
  <c r="C252" i="19" l="1"/>
  <c r="N219" i="19"/>
  <c r="M206" i="18"/>
  <c r="B12" i="15" s="1"/>
  <c r="B12" i="20" s="1"/>
  <c r="D12" i="20" s="1"/>
  <c r="H12" i="20" s="1"/>
  <c r="J12" i="20" s="1"/>
  <c r="K12" i="20" s="1"/>
  <c r="N196" i="18"/>
  <c r="M240" i="19"/>
  <c r="N240" i="19" l="1"/>
  <c r="D12" i="15"/>
  <c r="F12" i="15" s="1"/>
  <c r="C227" i="18"/>
  <c r="N206" i="18"/>
  <c r="G12" i="15" l="1"/>
  <c r="C237" i="18"/>
  <c r="I8" i="15" l="1"/>
  <c r="I9" i="15" l="1"/>
  <c r="I6" i="15" l="1"/>
  <c r="I7" i="15" l="1"/>
  <c r="I10" i="15" l="1"/>
  <c r="I11" i="15" l="1"/>
  <c r="I12" i="15" l="1"/>
  <c r="E250" i="19" l="1"/>
  <c r="P250" i="19" l="1"/>
  <c r="D235" i="18"/>
  <c r="H235" i="18" s="1"/>
  <c r="I235" i="18" s="1"/>
  <c r="M235" i="18" s="1"/>
  <c r="N235" i="18" s="1"/>
  <c r="C266" i="18" s="1"/>
  <c r="I250" i="19"/>
  <c r="M250" i="19" s="1"/>
  <c r="N250" i="19" s="1"/>
  <c r="C282" i="19" s="1"/>
  <c r="I282" i="19" s="1"/>
  <c r="M282" i="19" s="1"/>
  <c r="N282" i="19" s="1"/>
  <c r="E243" i="19" l="1"/>
  <c r="P243" i="19" l="1"/>
  <c r="I243" i="19"/>
  <c r="M243" i="19" s="1"/>
  <c r="N243" i="19" s="1"/>
  <c r="C275" i="19" s="1"/>
  <c r="I275" i="19" s="1"/>
  <c r="D229" i="18"/>
  <c r="H229" i="18" s="1"/>
  <c r="I229" i="18" s="1"/>
  <c r="M229" i="18" s="1"/>
  <c r="N229" i="18" s="1"/>
  <c r="C260" i="18" s="1"/>
  <c r="M275" i="19" l="1"/>
  <c r="N275" i="19" s="1"/>
  <c r="O252" i="19" l="1"/>
  <c r="E241" i="19" l="1"/>
  <c r="P241" i="19" l="1"/>
  <c r="D227" i="18"/>
  <c r="I241" i="19"/>
  <c r="M241" i="19" l="1"/>
  <c r="H227" i="18"/>
  <c r="N241" i="19" l="1"/>
  <c r="C273" i="19" s="1"/>
  <c r="I227" i="18"/>
  <c r="M227" i="18" l="1"/>
  <c r="N227" i="18" s="1"/>
  <c r="I273" i="19"/>
  <c r="M273" i="19" l="1"/>
  <c r="C258" i="18"/>
  <c r="N273" i="19" l="1"/>
  <c r="E236" i="19"/>
  <c r="E230" i="19"/>
  <c r="E226" i="19" l="1"/>
  <c r="P230" i="19"/>
  <c r="D216" i="18"/>
  <c r="H216" i="18" s="1"/>
  <c r="I216" i="18" s="1"/>
  <c r="M216" i="18" s="1"/>
  <c r="N216" i="18" s="1"/>
  <c r="C247" i="18" s="1"/>
  <c r="I230" i="19"/>
  <c r="D222" i="18"/>
  <c r="H222" i="18" s="1"/>
  <c r="I222" i="18" s="1"/>
  <c r="M222" i="18" s="1"/>
  <c r="N222" i="18" s="1"/>
  <c r="C253" i="18" s="1"/>
  <c r="P236" i="19"/>
  <c r="I236" i="19"/>
  <c r="M236" i="19" s="1"/>
  <c r="N236" i="19" l="1"/>
  <c r="C268" i="19" s="1"/>
  <c r="I268" i="19" s="1"/>
  <c r="M268" i="19" s="1"/>
  <c r="M230" i="19"/>
  <c r="D212" i="18"/>
  <c r="I226" i="19"/>
  <c r="P226" i="19"/>
  <c r="N230" i="19" l="1"/>
  <c r="C262" i="19" s="1"/>
  <c r="I262" i="19" s="1"/>
  <c r="M262" i="19" s="1"/>
  <c r="N268" i="19"/>
  <c r="M226" i="19"/>
  <c r="H212" i="18"/>
  <c r="N262" i="19" l="1"/>
  <c r="N226" i="19"/>
  <c r="C258" i="19" s="1"/>
  <c r="I212" i="18"/>
  <c r="I258" i="19" l="1"/>
  <c r="M212" i="18"/>
  <c r="N212" i="18" l="1"/>
  <c r="M258" i="19"/>
  <c r="N258" i="19" s="1"/>
  <c r="C243" i="18" l="1"/>
  <c r="E228" i="19" l="1"/>
  <c r="Q252" i="19"/>
  <c r="P228" i="19" l="1"/>
  <c r="P252" i="19" s="1"/>
  <c r="D214" i="18"/>
  <c r="I228" i="19"/>
  <c r="E252" i="19"/>
  <c r="H214" i="18" l="1"/>
  <c r="D237" i="18"/>
  <c r="M228" i="19"/>
  <c r="N228" i="19" s="1"/>
  <c r="I252" i="19"/>
  <c r="M252" i="19" l="1"/>
  <c r="C260" i="19"/>
  <c r="N252" i="19"/>
  <c r="I214" i="18"/>
  <c r="H237" i="18"/>
  <c r="C13" i="15" l="1"/>
  <c r="C13" i="20" s="1"/>
  <c r="M214" i="18"/>
  <c r="I237" i="18"/>
  <c r="I260" i="19"/>
  <c r="C285" i="19"/>
  <c r="M260" i="19" l="1"/>
  <c r="M237" i="18"/>
  <c r="N214" i="18"/>
  <c r="N260" i="19" l="1"/>
  <c r="C245" i="18"/>
  <c r="N237" i="18"/>
  <c r="B13" i="15"/>
  <c r="B13" i="20" s="1"/>
  <c r="D13" i="20" s="1"/>
  <c r="H13" i="20" s="1"/>
  <c r="J13" i="20" l="1"/>
  <c r="K13" i="20" s="1"/>
  <c r="D13" i="15"/>
  <c r="F13" i="15" s="1"/>
  <c r="G13" i="15" s="1"/>
  <c r="I13" i="15" s="1"/>
  <c r="C268" i="18"/>
  <c r="E316" i="19" l="1"/>
  <c r="D297" i="18" l="1"/>
  <c r="H297" i="18" s="1"/>
  <c r="I316" i="19"/>
  <c r="M316" i="19" s="1"/>
  <c r="N316" i="19" s="1"/>
  <c r="P316" i="19"/>
  <c r="E292" i="19" l="1"/>
  <c r="I292" i="19" l="1"/>
  <c r="M292" i="19" s="1"/>
  <c r="N292" i="19" s="1"/>
  <c r="D274" i="18"/>
  <c r="H274" i="18" s="1"/>
  <c r="P292" i="19"/>
  <c r="E309" i="19" l="1"/>
  <c r="I309" i="19" s="1"/>
  <c r="M309" i="19" s="1"/>
  <c r="N309" i="19" l="1"/>
  <c r="E302" i="19"/>
  <c r="P309" i="19"/>
  <c r="D291" i="18"/>
  <c r="H291" i="18" s="1"/>
  <c r="I302" i="19" l="1"/>
  <c r="M302" i="19" s="1"/>
  <c r="N302" i="19" s="1"/>
  <c r="E296" i="19"/>
  <c r="D284" i="18" l="1"/>
  <c r="H284" i="18" s="1"/>
  <c r="P302" i="19"/>
  <c r="I296" i="19"/>
  <c r="M296" i="19" s="1"/>
  <c r="N296" i="19" s="1"/>
  <c r="D278" i="18"/>
  <c r="H278" i="18" s="1"/>
  <c r="P296" i="19"/>
  <c r="E294" i="19"/>
  <c r="E307" i="19" l="1"/>
  <c r="P307" i="19" l="1"/>
  <c r="D289" i="18"/>
  <c r="H289" i="18" s="1"/>
  <c r="I307" i="19"/>
  <c r="M307" i="19" l="1"/>
  <c r="N307" i="19" s="1"/>
  <c r="O318" i="19" l="1"/>
  <c r="I294" i="19" l="1"/>
  <c r="M294" i="19" s="1"/>
  <c r="N294" i="19" s="1"/>
  <c r="P294" i="19"/>
  <c r="P318" i="19" s="1"/>
  <c r="D276" i="18"/>
  <c r="E318" i="19"/>
  <c r="H276" i="18" l="1"/>
  <c r="D299" i="18"/>
  <c r="H299" i="18" l="1"/>
  <c r="O285" i="19" l="1"/>
  <c r="G14" i="20" l="1"/>
  <c r="E276" i="19" l="1"/>
  <c r="E274" i="19"/>
  <c r="E269" i="19"/>
  <c r="E261" i="19"/>
  <c r="D245" i="18" l="1"/>
  <c r="H245" i="18" s="1"/>
  <c r="I261" i="19"/>
  <c r="M261" i="19" s="1"/>
  <c r="N261" i="19" s="1"/>
  <c r="C293" i="19" s="1"/>
  <c r="I293" i="19" s="1"/>
  <c r="M293" i="19" s="1"/>
  <c r="N293" i="19" s="1"/>
  <c r="P261" i="19"/>
  <c r="I269" i="19"/>
  <c r="M269" i="19" s="1"/>
  <c r="N269" i="19" s="1"/>
  <c r="C301" i="19" s="1"/>
  <c r="I301" i="19" s="1"/>
  <c r="M301" i="19" s="1"/>
  <c r="N301" i="19" s="1"/>
  <c r="P269" i="19"/>
  <c r="D253" i="18"/>
  <c r="H253" i="18" s="1"/>
  <c r="I253" i="18" s="1"/>
  <c r="M253" i="18" s="1"/>
  <c r="N253" i="18" s="1"/>
  <c r="C284" i="18" s="1"/>
  <c r="I284" i="18" s="1"/>
  <c r="M284" i="18" s="1"/>
  <c r="N284" i="18" s="1"/>
  <c r="I274" i="19"/>
  <c r="M274" i="19" s="1"/>
  <c r="N274" i="19" s="1"/>
  <c r="C306" i="19" s="1"/>
  <c r="I306" i="19" s="1"/>
  <c r="M306" i="19" s="1"/>
  <c r="N306" i="19" s="1"/>
  <c r="D258" i="18"/>
  <c r="H258" i="18" s="1"/>
  <c r="I258" i="18" s="1"/>
  <c r="M258" i="18" s="1"/>
  <c r="N258" i="18" s="1"/>
  <c r="C289" i="18" s="1"/>
  <c r="I289" i="18" s="1"/>
  <c r="M289" i="18" s="1"/>
  <c r="N289" i="18" s="1"/>
  <c r="P274" i="19"/>
  <c r="I276" i="19"/>
  <c r="P276" i="19"/>
  <c r="D260" i="18"/>
  <c r="H260" i="18" s="1"/>
  <c r="I260" i="18" s="1"/>
  <c r="M260" i="18" s="1"/>
  <c r="N260" i="18" s="1"/>
  <c r="C291" i="18" s="1"/>
  <c r="I291" i="18" s="1"/>
  <c r="M291" i="18" s="1"/>
  <c r="N291" i="18" s="1"/>
  <c r="M276" i="19" l="1"/>
  <c r="N276" i="19"/>
  <c r="C308" i="19" s="1"/>
  <c r="I308" i="19" s="1"/>
  <c r="M308" i="19" s="1"/>
  <c r="N308" i="19" s="1"/>
  <c r="I245" i="18"/>
  <c r="M245" i="18" s="1"/>
  <c r="N245" i="18" l="1"/>
  <c r="C276" i="18" s="1"/>
  <c r="I276" i="18" s="1"/>
  <c r="M276" i="18" s="1"/>
  <c r="N276" i="18" s="1"/>
  <c r="E283" i="19" l="1"/>
  <c r="E280" i="19"/>
  <c r="E263" i="19"/>
  <c r="I263" i="19" l="1"/>
  <c r="M263" i="19" s="1"/>
  <c r="N263" i="19" s="1"/>
  <c r="C295" i="19" s="1"/>
  <c r="I295" i="19" s="1"/>
  <c r="M295" i="19" s="1"/>
  <c r="N295" i="19" s="1"/>
  <c r="P263" i="19"/>
  <c r="D247" i="18"/>
  <c r="H247" i="18" s="1"/>
  <c r="I247" i="18" s="1"/>
  <c r="M247" i="18" s="1"/>
  <c r="N247" i="18" s="1"/>
  <c r="C278" i="18" s="1"/>
  <c r="I278" i="18" s="1"/>
  <c r="M278" i="18" s="1"/>
  <c r="N278" i="18" s="1"/>
  <c r="I280" i="19"/>
  <c r="M280" i="19" s="1"/>
  <c r="N280" i="19" s="1"/>
  <c r="C312" i="19" s="1"/>
  <c r="I312" i="19" s="1"/>
  <c r="M312" i="19" s="1"/>
  <c r="N312" i="19" s="1"/>
  <c r="D263" i="18"/>
  <c r="H263" i="18" s="1"/>
  <c r="P280" i="19"/>
  <c r="D266" i="18"/>
  <c r="H266" i="18" s="1"/>
  <c r="I266" i="18" s="1"/>
  <c r="M266" i="18" s="1"/>
  <c r="N266" i="18" s="1"/>
  <c r="C297" i="18" s="1"/>
  <c r="I297" i="18" s="1"/>
  <c r="M297" i="18" s="1"/>
  <c r="N297" i="18" s="1"/>
  <c r="I283" i="19"/>
  <c r="M283" i="19" s="1"/>
  <c r="N283" i="19" s="1"/>
  <c r="C315" i="19" s="1"/>
  <c r="I315" i="19" s="1"/>
  <c r="M315" i="19" s="1"/>
  <c r="N315" i="19" s="1"/>
  <c r="P283" i="19"/>
  <c r="E259" i="19"/>
  <c r="Q285" i="19"/>
  <c r="I263" i="18" l="1"/>
  <c r="M263" i="18" s="1"/>
  <c r="D243" i="18"/>
  <c r="P259" i="19"/>
  <c r="P285" i="19" s="1"/>
  <c r="I259" i="19"/>
  <c r="E285" i="19"/>
  <c r="M259" i="19" l="1"/>
  <c r="M285" i="19" s="1"/>
  <c r="C14" i="15" s="1"/>
  <c r="I285" i="19"/>
  <c r="N259" i="19"/>
  <c r="D268" i="18"/>
  <c r="H243" i="18"/>
  <c r="N263" i="18"/>
  <c r="C294" i="18" s="1"/>
  <c r="I294" i="18" s="1"/>
  <c r="M294" i="18" s="1"/>
  <c r="N294" i="18" s="1"/>
  <c r="N285" i="19" l="1"/>
  <c r="C291" i="19"/>
  <c r="I243" i="18"/>
  <c r="H268" i="18"/>
  <c r="C14" i="20"/>
  <c r="I268" i="18" l="1"/>
  <c r="M243" i="18"/>
  <c r="I291" i="19"/>
  <c r="C318" i="19"/>
  <c r="M291" i="19" l="1"/>
  <c r="M318" i="19" s="1"/>
  <c r="C15" i="15" s="1"/>
  <c r="C15" i="20" s="1"/>
  <c r="I318" i="19"/>
  <c r="M268" i="18"/>
  <c r="B14" i="15" s="1"/>
  <c r="N243" i="18"/>
  <c r="N291" i="19" l="1"/>
  <c r="N318" i="19" s="1"/>
  <c r="N268" i="18"/>
  <c r="C274" i="18"/>
  <c r="B14" i="20"/>
  <c r="D14" i="20" s="1"/>
  <c r="H14" i="20" s="1"/>
  <c r="D14" i="15"/>
  <c r="F14" i="15" s="1"/>
  <c r="G14" i="15" s="1"/>
  <c r="I14" i="15" s="1"/>
  <c r="J14" i="20" l="1"/>
  <c r="K14" i="20" s="1"/>
  <c r="I274" i="18"/>
  <c r="C299" i="18"/>
  <c r="I299" i="18" l="1"/>
  <c r="M274" i="18"/>
  <c r="M299" i="18" s="1"/>
  <c r="B15" i="15" s="1"/>
  <c r="B15" i="20" s="1"/>
  <c r="D15" i="20" s="1"/>
  <c r="H15" i="20" s="1"/>
  <c r="J15" i="20" s="1"/>
  <c r="K15" i="20" s="1"/>
  <c r="K16" i="20" s="1"/>
  <c r="N274" i="18" l="1"/>
  <c r="N299" i="18"/>
  <c r="D15" i="15"/>
  <c r="F15" i="15" s="1"/>
  <c r="G15" i="15" s="1"/>
  <c r="I15" i="15" s="1"/>
  <c r="I16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Ajay Sharma</author>
  </authors>
  <commentList>
    <comment ref="F55" authorId="0" shapeId="0" xr:uid="{9534B0B6-3616-4641-8D62-5C4FC1E534B2}">
      <text>
        <r>
          <rPr>
            <b/>
            <sz val="9"/>
            <color indexed="81"/>
            <rFont val="Tahoma"/>
            <family val="2"/>
          </rPr>
          <t>Elexicon:</t>
        </r>
        <r>
          <rPr>
            <sz val="9"/>
            <color indexed="81"/>
            <rFont val="Tahoma"/>
            <family val="2"/>
          </rPr>
          <t xml:space="preserve">
Transfer from EG(serveco) Q1 tax return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Ajay Sharma</author>
  </authors>
  <commentList>
    <comment ref="F55" authorId="0" shapeId="0" xr:uid="{85567492-3F1E-4661-9C48-97581F638737}">
      <text>
        <r>
          <rPr>
            <b/>
            <sz val="9"/>
            <color indexed="81"/>
            <rFont val="Tahoma"/>
            <family val="2"/>
          </rPr>
          <t>Elexicon:</t>
        </r>
        <r>
          <rPr>
            <sz val="9"/>
            <color indexed="81"/>
            <rFont val="Tahoma"/>
            <family val="2"/>
          </rPr>
          <t xml:space="preserve">
Transfer from EG(serveco) Q1 tax return</t>
        </r>
      </text>
    </comment>
  </commentList>
</comments>
</file>

<file path=xl/sharedStrings.xml><?xml version="1.0" encoding="utf-8"?>
<sst xmlns="http://schemas.openxmlformats.org/spreadsheetml/2006/main" count="1909" uniqueCount="198">
  <si>
    <t xml:space="preserve"> </t>
  </si>
  <si>
    <t>CCA</t>
  </si>
  <si>
    <t>Class</t>
  </si>
  <si>
    <t>Description</t>
  </si>
  <si>
    <t>net adjustments</t>
  </si>
  <si>
    <t>50% Rule</t>
  </si>
  <si>
    <t>Reduced UCC</t>
  </si>
  <si>
    <t>terminal loss</t>
  </si>
  <si>
    <t>UCC end of year</t>
  </si>
  <si>
    <t>Vehicles</t>
  </si>
  <si>
    <t>WIP</t>
  </si>
  <si>
    <t>Total</t>
  </si>
  <si>
    <t>dispositions</t>
  </si>
  <si>
    <t>Account</t>
  </si>
  <si>
    <t>CCA class</t>
  </si>
  <si>
    <t>Servc Centre Bldgs</t>
  </si>
  <si>
    <t>Offc Furn &amp; Equip</t>
  </si>
  <si>
    <t>Tools &amp; Equip</t>
  </si>
  <si>
    <t>Comm. Equip</t>
  </si>
  <si>
    <t>SCADA</t>
  </si>
  <si>
    <t>Misc. Equipment</t>
  </si>
  <si>
    <t xml:space="preserve">Comp Sftwre </t>
  </si>
  <si>
    <t>Leasehold Improv</t>
  </si>
  <si>
    <t>Sub Trans Poles and Fixtures</t>
  </si>
  <si>
    <t>Sub Trans Conduct etc Overhead</t>
  </si>
  <si>
    <t>Substations</t>
  </si>
  <si>
    <t>Dist Poles</t>
  </si>
  <si>
    <t>Dist Wire</t>
  </si>
  <si>
    <t>Dist Duct</t>
  </si>
  <si>
    <t>Dist Cable</t>
  </si>
  <si>
    <t>Transformer</t>
  </si>
  <si>
    <t>contributions</t>
  </si>
  <si>
    <t>Services</t>
  </si>
  <si>
    <t>Meters</t>
  </si>
  <si>
    <t xml:space="preserve">  </t>
  </si>
  <si>
    <t>Comp Hdrwre</t>
  </si>
  <si>
    <t>Land</t>
  </si>
  <si>
    <t>N/A</t>
  </si>
  <si>
    <t>Sub trans Conduit UG</t>
  </si>
  <si>
    <t>Sub Trans Cond &amp; Dev</t>
  </si>
  <si>
    <t>Land Rights</t>
  </si>
  <si>
    <t>Bldg &amp; Fixtures</t>
  </si>
  <si>
    <t>TS Equipment</t>
  </si>
  <si>
    <t xml:space="preserve">Land  </t>
  </si>
  <si>
    <t>Stores Equip</t>
  </si>
  <si>
    <t>Test Equip</t>
  </si>
  <si>
    <t>CDM-Inst on Cust Prem</t>
  </si>
  <si>
    <t>Non-Utility Property - Renewables</t>
  </si>
  <si>
    <t>Net Cap exp.</t>
  </si>
  <si>
    <t>Misc int Plant</t>
  </si>
  <si>
    <t>Borrowing costs capitalization</t>
  </si>
  <si>
    <t>Land rights</t>
  </si>
  <si>
    <t>based on Q2 projections</t>
  </si>
  <si>
    <t>Projected additions in 2017</t>
  </si>
  <si>
    <t>2017 Capex Forecast</t>
  </si>
  <si>
    <t>As per CAPEX report</t>
  </si>
  <si>
    <t>DIFF</t>
  </si>
  <si>
    <t>CCA Rate %</t>
  </si>
  <si>
    <t>recapture of CCA</t>
  </si>
  <si>
    <t>UCC2017</t>
  </si>
  <si>
    <t>Additions Jan 1-Nov 20</t>
  </si>
  <si>
    <t xml:space="preserve">CCA </t>
  </si>
  <si>
    <t>Equipment acquired after Nov 20, 2018</t>
  </si>
  <si>
    <t>UCC2018</t>
  </si>
  <si>
    <t>CCA - 90 days</t>
  </si>
  <si>
    <t>actual tax return</t>
  </si>
  <si>
    <t>CCA without accel depn</t>
  </si>
  <si>
    <t>CCA with accel depn</t>
  </si>
  <si>
    <t>Tax Impact</t>
  </si>
  <si>
    <t>Additions Nov 21-Dec 31 AIIP</t>
  </si>
  <si>
    <t>Tax Rate</t>
  </si>
  <si>
    <t>Gross Up</t>
  </si>
  <si>
    <t>Income Tax (Grossed Up)</t>
  </si>
  <si>
    <t>Eligible Capital Property(new)</t>
  </si>
  <si>
    <t>Eligible Capital Property(prior years)</t>
  </si>
  <si>
    <t xml:space="preserve">Clean energy generation </t>
  </si>
  <si>
    <t>Hardware acquisition acquired after Nov 20, 2018</t>
  </si>
  <si>
    <t>Hardware acquisition</t>
  </si>
  <si>
    <t>trans/dist acquired after Nov 20, 2018</t>
  </si>
  <si>
    <r>
      <t>trans/dist acquired after feb 22/05</t>
    </r>
    <r>
      <rPr>
        <vertAlign val="superscript"/>
        <sz val="10"/>
        <rFont val="Verdana"/>
        <family val="2"/>
      </rPr>
      <t>1</t>
    </r>
  </si>
  <si>
    <t>computers&gt;22-03-04&lt;19-03-07</t>
  </si>
  <si>
    <t>Fibre optics</t>
  </si>
  <si>
    <t>Leasehold</t>
  </si>
  <si>
    <t>Software acquired after Nov 20, 2018</t>
  </si>
  <si>
    <t>Software</t>
  </si>
  <si>
    <t>Vehicles#302 2009 ford escape</t>
  </si>
  <si>
    <t>Vehicles#250 2009 silverado hybrid</t>
  </si>
  <si>
    <t>Vehicles#284 2008 ford escape</t>
  </si>
  <si>
    <t>Vehicles#285 2008 ford escape</t>
  </si>
  <si>
    <t>Vehicles acquired after Nov 20, 2018</t>
  </si>
  <si>
    <t>Equipment</t>
  </si>
  <si>
    <t>Building-office acquired after Nov 20, 2018</t>
  </si>
  <si>
    <t>1b</t>
  </si>
  <si>
    <t>Building-office</t>
  </si>
  <si>
    <t>trans/dist feb 22/05</t>
  </si>
  <si>
    <t>Veridian connections</t>
  </si>
  <si>
    <t>Eligible Capital Property(new)after Nov 20, 2018</t>
  </si>
  <si>
    <t>Q12019</t>
  </si>
  <si>
    <t>UCC Q1 2019</t>
  </si>
  <si>
    <t>Additions Apr 1 - Dec 31 2019 AIIP</t>
  </si>
  <si>
    <t>CCA - 275 days</t>
  </si>
  <si>
    <t>UCC 2019</t>
  </si>
  <si>
    <t>Additions 2020</t>
  </si>
  <si>
    <t>Additions2020</t>
  </si>
  <si>
    <t>UCC 2020</t>
  </si>
  <si>
    <t>Additions2021</t>
  </si>
  <si>
    <t>Additions 2021</t>
  </si>
  <si>
    <t>Actual tax return</t>
  </si>
  <si>
    <t>Whitby</t>
  </si>
  <si>
    <t>EEI Tax return</t>
  </si>
  <si>
    <t>UCC 2021</t>
  </si>
  <si>
    <t>Additions 2022</t>
  </si>
  <si>
    <t>EEI tax projections</t>
  </si>
  <si>
    <t>UCC 2022</t>
  </si>
  <si>
    <t>Additions2022</t>
  </si>
  <si>
    <t>2026(forecast)</t>
  </si>
  <si>
    <t>Tax forecast</t>
  </si>
  <si>
    <t>Additions2023</t>
  </si>
  <si>
    <t>tax forecast</t>
  </si>
  <si>
    <t>UCC 2023</t>
  </si>
  <si>
    <t>Additions2024</t>
  </si>
  <si>
    <t>UCC 2024</t>
  </si>
  <si>
    <t>UCC 2025</t>
  </si>
  <si>
    <t>Additions2026</t>
  </si>
  <si>
    <t>Additions2025</t>
  </si>
  <si>
    <t>Whitby RZ</t>
  </si>
  <si>
    <t>Additions 2026</t>
  </si>
  <si>
    <t>Veridian</t>
  </si>
  <si>
    <t>tax proj</t>
  </si>
  <si>
    <t xml:space="preserve">1.5M immediate expensing </t>
  </si>
  <si>
    <t xml:space="preserve">1.5M immediate expensing  </t>
  </si>
  <si>
    <t>Additions 2023</t>
  </si>
  <si>
    <t>Additions 2024</t>
  </si>
  <si>
    <t>Additions 2025</t>
  </si>
  <si>
    <t>ADMS softare/equipment</t>
  </si>
  <si>
    <t>ADMS softare/equipment-accelerated CCA</t>
  </si>
  <si>
    <t>EEI tax return 2023</t>
  </si>
  <si>
    <t>EEI tax return 2022</t>
  </si>
  <si>
    <t>EEI Tax return 2021</t>
  </si>
  <si>
    <t>EEI Tax return 2020</t>
  </si>
  <si>
    <t>EEI tax forecast 2024</t>
  </si>
  <si>
    <t>Tax return</t>
  </si>
  <si>
    <t>tax return</t>
  </si>
  <si>
    <t xml:space="preserve">1.5M immediate expensing(balance for Whitby) </t>
  </si>
  <si>
    <t>tax prov</t>
  </si>
  <si>
    <t>2018 tax return</t>
  </si>
  <si>
    <t>2019 Apr-Dec tax return</t>
  </si>
  <si>
    <t>2020 tax return</t>
  </si>
  <si>
    <t>2021 tax return</t>
  </si>
  <si>
    <t>2022 tax return</t>
  </si>
  <si>
    <t>2023 tax return</t>
  </si>
  <si>
    <t>2024 tax return</t>
  </si>
  <si>
    <t>2019 Jan- Mar</t>
  </si>
  <si>
    <t>2019 Apr-Dec tax rtn</t>
  </si>
  <si>
    <t>Elexicon Energy Inc.</t>
  </si>
  <si>
    <t>EEI tax provision 2025</t>
  </si>
  <si>
    <t>2025(tax prov)</t>
  </si>
  <si>
    <t>Difference</t>
  </si>
  <si>
    <t>Difference Veridian + Whitby</t>
  </si>
  <si>
    <t>2019 Jan-Mar tax return</t>
  </si>
  <si>
    <t>Veridian Rate Zone</t>
  </si>
  <si>
    <t>Whitby Rate Zone</t>
  </si>
  <si>
    <t>Total Income Tax (Grossed Up) Veridian + Whitby</t>
  </si>
  <si>
    <t>Tax Impact Veridian + Whitby</t>
  </si>
  <si>
    <t>Tax Year</t>
  </si>
  <si>
    <t>Tax provision</t>
  </si>
  <si>
    <t>2019 Jan-Mar</t>
  </si>
  <si>
    <t>2019 Apr-Dec</t>
  </si>
  <si>
    <t>BLDG, PLANT &amp; DISTR</t>
  </si>
  <si>
    <t>BLDG, PLANT &amp; DISTR acquired after Nov 20, 2018</t>
  </si>
  <si>
    <t>GEN &amp; DISTR &lt; 1988</t>
  </si>
  <si>
    <t>OFFICE EQUIPMENT</t>
  </si>
  <si>
    <t>COMPUTER EQUIPMENT</t>
  </si>
  <si>
    <t>Computer Software</t>
  </si>
  <si>
    <t>Computer Software acquired after Nov 20, 2018</t>
  </si>
  <si>
    <t>Goodwill</t>
  </si>
  <si>
    <t>Transaction Costs</t>
  </si>
  <si>
    <t>YARD IMPROVEMENTS</t>
  </si>
  <si>
    <t>SOLAR PANELS</t>
  </si>
  <si>
    <t>COMPUTER EQUIPMENT ACQUI</t>
  </si>
  <si>
    <t>GEN &amp; DISTR &gt; FEB 22, 2005</t>
  </si>
  <si>
    <t>GEN &amp; DISTR &gt; FEB 22, 2005 acquired after Nov 20, 2018</t>
  </si>
  <si>
    <t>COMPUTER EQUIPMENT ACQUI acquired after Nov 20, 2018</t>
  </si>
  <si>
    <t>Additions Jan 1 - Mar 31 2019</t>
  </si>
  <si>
    <t>Additions Jan 1 - Mar 31 2019 AIIP</t>
  </si>
  <si>
    <t>Transaction Costs after Nov 20, 2018</t>
  </si>
  <si>
    <t>UCC2019</t>
  </si>
  <si>
    <t>UCC2020</t>
  </si>
  <si>
    <t>COMPUTER EQUIPMENT/Vehicles</t>
  </si>
  <si>
    <t>COMPUTER EQUIPMENT/Vehicles after nov 18</t>
  </si>
  <si>
    <t>UCC2021</t>
  </si>
  <si>
    <t>UCC2022</t>
  </si>
  <si>
    <t>tax returrn</t>
  </si>
  <si>
    <t>UCC2023</t>
  </si>
  <si>
    <t>tax provision</t>
  </si>
  <si>
    <t>UCC2024</t>
  </si>
  <si>
    <t>UCC2025</t>
  </si>
  <si>
    <t>Additions Nov 21-Dec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</si>
</sst>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name val="Verdana"/>
      <family val="2"/>
    </font>
    <font>
      <sz val="11"/>
      <name val="Calibri"/>
      <family val="2"/>
      <scheme val="minor"/>
    </font>
    <font>
      <b/>
      <u/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.5"/>
      <name val="Verdana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00B050"/>
      <name val="Verdana"/>
      <family val="2"/>
    </font>
    <font>
      <b/>
      <sz val="9"/>
      <color rgb="FF00B050"/>
      <name val="Arial"/>
      <family val="2"/>
    </font>
    <font>
      <sz val="9.5"/>
      <color rgb="FF000000"/>
      <name val="Verdan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9" fillId="0" borderId="0" applyNumberFormat="0" applyFill="0" applyBorder="0" applyAlignment="0" applyProtection="0"/>
  </cellStyleXfs>
  <cellXfs count="225">
    <xf numFmtId="0" fontId="0" fillId="0" borderId="0" xfId="0"/>
    <xf numFmtId="166" fontId="7" fillId="0" borderId="1" xfId="1" applyNumberFormat="1" applyFont="1" applyFill="1" applyBorder="1" applyAlignment="1">
      <alignment wrapText="1"/>
    </xf>
    <xf numFmtId="166" fontId="8" fillId="0" borderId="1" xfId="1" applyNumberFormat="1" applyFont="1" applyFill="1" applyBorder="1"/>
    <xf numFmtId="0" fontId="8" fillId="0" borderId="1" xfId="5" applyNumberFormat="1" applyFont="1" applyFill="1" applyBorder="1" applyAlignment="1" applyProtection="1">
      <protection locked="0"/>
    </xf>
    <xf numFmtId="166" fontId="0" fillId="0" borderId="0" xfId="0" applyNumberFormat="1"/>
    <xf numFmtId="166" fontId="8" fillId="0" borderId="2" xfId="1" applyNumberFormat="1" applyFont="1" applyFill="1" applyBorder="1"/>
    <xf numFmtId="0" fontId="9" fillId="0" borderId="0" xfId="7" applyFont="1"/>
    <xf numFmtId="0" fontId="9" fillId="0" borderId="0" xfId="7" applyFont="1" applyAlignment="1">
      <alignment horizontal="center"/>
    </xf>
    <xf numFmtId="0" fontId="10" fillId="0" borderId="0" xfId="7" applyFont="1"/>
    <xf numFmtId="0" fontId="9" fillId="0" borderId="0" xfId="7" applyFont="1" applyAlignment="1">
      <alignment horizontal="center" wrapText="1"/>
    </xf>
    <xf numFmtId="0" fontId="11" fillId="0" borderId="6" xfId="7" applyFont="1" applyBorder="1"/>
    <xf numFmtId="0" fontId="11" fillId="0" borderId="0" xfId="7" applyFont="1"/>
    <xf numFmtId="167" fontId="11" fillId="0" borderId="0" xfId="8" applyNumberFormat="1" applyFont="1" applyFill="1" applyAlignment="1">
      <alignment wrapText="1"/>
    </xf>
    <xf numFmtId="0" fontId="9" fillId="0" borderId="0" xfId="8" applyNumberFormat="1" applyFont="1" applyFill="1" applyAlignment="1">
      <alignment horizontal="center" wrapText="1"/>
    </xf>
    <xf numFmtId="167" fontId="9" fillId="0" borderId="0" xfId="8" applyNumberFormat="1" applyFont="1" applyFill="1" applyAlignment="1">
      <alignment wrapText="1"/>
    </xf>
    <xf numFmtId="167" fontId="0" fillId="0" borderId="0" xfId="0" applyNumberFormat="1"/>
    <xf numFmtId="167" fontId="11" fillId="0" borderId="5" xfId="8" applyNumberFormat="1" applyFont="1" applyFill="1" applyBorder="1" applyAlignment="1">
      <alignment wrapText="1"/>
    </xf>
    <xf numFmtId="167" fontId="9" fillId="0" borderId="0" xfId="8" applyNumberFormat="1" applyFont="1" applyFill="1" applyAlignment="1">
      <alignment horizontal="center" wrapText="1"/>
    </xf>
    <xf numFmtId="167" fontId="10" fillId="0" borderId="0" xfId="7" applyNumberFormat="1" applyFont="1"/>
    <xf numFmtId="167" fontId="9" fillId="0" borderId="0" xfId="7" applyNumberFormat="1" applyFont="1"/>
    <xf numFmtId="167" fontId="11" fillId="0" borderId="0" xfId="8" applyNumberFormat="1" applyFont="1" applyFill="1" applyBorder="1" applyAlignment="1">
      <alignment wrapText="1"/>
    </xf>
    <xf numFmtId="167" fontId="9" fillId="0" borderId="5" xfId="8" applyNumberFormat="1" applyFont="1" applyFill="1" applyBorder="1" applyAlignment="1">
      <alignment wrapText="1"/>
    </xf>
    <xf numFmtId="166" fontId="2" fillId="0" borderId="0" xfId="1" applyNumberFormat="1" applyFont="1" applyFill="1"/>
    <xf numFmtId="166" fontId="7" fillId="0" borderId="4" xfId="1" applyNumberFormat="1" applyFont="1" applyFill="1" applyBorder="1"/>
    <xf numFmtId="167" fontId="12" fillId="0" borderId="0" xfId="8" applyNumberFormat="1" applyFont="1" applyFill="1" applyAlignment="1">
      <alignment wrapText="1"/>
    </xf>
    <xf numFmtId="166" fontId="0" fillId="0" borderId="0" xfId="1" applyNumberFormat="1" applyFont="1" applyFill="1"/>
    <xf numFmtId="37" fontId="0" fillId="0" borderId="0" xfId="0" applyNumberFormat="1"/>
    <xf numFmtId="166" fontId="8" fillId="0" borderId="4" xfId="1" applyNumberFormat="1" applyFont="1" applyFill="1" applyBorder="1"/>
    <xf numFmtId="166" fontId="7" fillId="0" borderId="7" xfId="1" applyNumberFormat="1" applyFont="1" applyFill="1" applyBorder="1" applyAlignment="1">
      <alignment wrapText="1"/>
    </xf>
    <xf numFmtId="166" fontId="8" fillId="0" borderId="7" xfId="1" applyNumberFormat="1" applyFont="1" applyFill="1" applyBorder="1"/>
    <xf numFmtId="166" fontId="0" fillId="0" borderId="0" xfId="1" applyNumberFormat="1" applyFont="1"/>
    <xf numFmtId="0" fontId="0" fillId="2" borderId="0" xfId="0" applyFill="1"/>
    <xf numFmtId="0" fontId="16" fillId="2" borderId="0" xfId="0" applyFont="1" applyFill="1"/>
    <xf numFmtId="10" fontId="0" fillId="2" borderId="0" xfId="0" applyNumberFormat="1" applyFill="1"/>
    <xf numFmtId="0" fontId="15" fillId="2" borderId="0" xfId="0" applyFont="1" applyFill="1"/>
    <xf numFmtId="166" fontId="0" fillId="2" borderId="0" xfId="0" applyNumberFormat="1" applyFill="1"/>
    <xf numFmtId="0" fontId="17" fillId="2" borderId="0" xfId="0" applyFont="1" applyFill="1"/>
    <xf numFmtId="0" fontId="18" fillId="2" borderId="0" xfId="0" applyFont="1" applyFill="1"/>
    <xf numFmtId="0" fontId="19" fillId="2" borderId="0" xfId="18" applyFill="1"/>
    <xf numFmtId="166" fontId="21" fillId="0" borderId="1" xfId="1" applyNumberFormat="1" applyFont="1" applyFill="1" applyBorder="1"/>
    <xf numFmtId="166" fontId="5" fillId="0" borderId="0" xfId="1" applyNumberFormat="1" applyFont="1" applyFill="1" applyBorder="1"/>
    <xf numFmtId="166" fontId="3" fillId="0" borderId="9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/>
    <xf numFmtId="166" fontId="0" fillId="0" borderId="0" xfId="1" applyNumberFormat="1" applyFont="1" applyFill="1" applyBorder="1"/>
    <xf numFmtId="166" fontId="7" fillId="0" borderId="0" xfId="1" applyNumberFormat="1" applyFont="1" applyFill="1" applyBorder="1"/>
    <xf numFmtId="166" fontId="8" fillId="0" borderId="0" xfId="1" applyNumberFormat="1" applyFont="1" applyFill="1" applyBorder="1"/>
    <xf numFmtId="0" fontId="0" fillId="0" borderId="0" xfId="0" applyAlignment="1">
      <alignment horizontal="left"/>
    </xf>
    <xf numFmtId="0" fontId="17" fillId="0" borderId="0" xfId="0" applyFont="1"/>
    <xf numFmtId="0" fontId="2" fillId="0" borderId="0" xfId="0" applyFont="1"/>
    <xf numFmtId="166" fontId="2" fillId="0" borderId="0" xfId="1" applyNumberFormat="1" applyFont="1"/>
    <xf numFmtId="10" fontId="0" fillId="0" borderId="0" xfId="0" applyNumberFormat="1"/>
    <xf numFmtId="0" fontId="0" fillId="0" borderId="0" xfId="0" applyAlignment="1">
      <alignment horizontal="right"/>
    </xf>
    <xf numFmtId="0" fontId="22" fillId="0" borderId="0" xfId="4" applyFont="1"/>
    <xf numFmtId="0" fontId="7" fillId="0" borderId="1" xfId="4" applyFont="1" applyBorder="1" applyAlignment="1">
      <alignment wrapText="1"/>
    </xf>
    <xf numFmtId="3" fontId="8" fillId="0" borderId="1" xfId="4" applyNumberFormat="1" applyFont="1" applyBorder="1"/>
    <xf numFmtId="0" fontId="8" fillId="0" borderId="1" xfId="5" applyNumberFormat="1" applyFont="1" applyFill="1" applyBorder="1" applyAlignment="1" applyProtection="1">
      <alignment horizontal="right"/>
      <protection locked="0"/>
    </xf>
    <xf numFmtId="0" fontId="8" fillId="0" borderId="1" xfId="6" applyFont="1" applyBorder="1" applyProtection="1">
      <protection locked="0"/>
    </xf>
    <xf numFmtId="0" fontId="8" fillId="0" borderId="1" xfId="6" applyFont="1" applyBorder="1" applyAlignment="1" applyProtection="1">
      <alignment wrapText="1"/>
      <protection locked="0"/>
    </xf>
    <xf numFmtId="0" fontId="8" fillId="0" borderId="2" xfId="5" applyNumberFormat="1" applyFont="1" applyFill="1" applyBorder="1" applyAlignment="1" applyProtection="1">
      <protection locked="0"/>
    </xf>
    <xf numFmtId="0" fontId="8" fillId="0" borderId="2" xfId="6" applyFont="1" applyBorder="1"/>
    <xf numFmtId="0" fontId="8" fillId="0" borderId="1" xfId="6" applyFont="1" applyBorder="1"/>
    <xf numFmtId="0" fontId="7" fillId="0" borderId="4" xfId="4" applyFont="1" applyBorder="1"/>
    <xf numFmtId="0" fontId="8" fillId="0" borderId="4" xfId="4" applyFont="1" applyBorder="1"/>
    <xf numFmtId="3" fontId="7" fillId="0" borderId="4" xfId="4" applyNumberFormat="1" applyFont="1" applyBorder="1"/>
    <xf numFmtId="3" fontId="7" fillId="0" borderId="8" xfId="4" applyNumberFormat="1" applyFont="1" applyBorder="1"/>
    <xf numFmtId="3" fontId="8" fillId="0" borderId="3" xfId="4" applyNumberFormat="1" applyFont="1" applyBorder="1"/>
    <xf numFmtId="0" fontId="25" fillId="0" borderId="0" xfId="1" applyNumberFormat="1" applyFont="1" applyFill="1"/>
    <xf numFmtId="166" fontId="21" fillId="0" borderId="0" xfId="1" applyNumberFormat="1" applyFont="1" applyFill="1" applyBorder="1"/>
    <xf numFmtId="0" fontId="21" fillId="0" borderId="0" xfId="0" applyFont="1"/>
    <xf numFmtId="166" fontId="26" fillId="0" borderId="1" xfId="1" applyNumberFormat="1" applyFont="1" applyFill="1" applyBorder="1" applyAlignment="1">
      <alignment horizontal="center" vertical="center" wrapText="1"/>
    </xf>
    <xf numFmtId="0" fontId="27" fillId="0" borderId="1" xfId="4" applyFont="1" applyBorder="1" applyAlignment="1">
      <alignment wrapText="1"/>
    </xf>
    <xf numFmtId="166" fontId="7" fillId="0" borderId="1" xfId="1" applyNumberFormat="1" applyFont="1" applyFill="1" applyBorder="1" applyAlignment="1">
      <alignment horizontal="right" wrapText="1"/>
    </xf>
    <xf numFmtId="0" fontId="27" fillId="0" borderId="1" xfId="1" applyNumberFormat="1" applyFont="1" applyFill="1" applyBorder="1" applyAlignment="1">
      <alignment horizontal="left" wrapText="1"/>
    </xf>
    <xf numFmtId="0" fontId="7" fillId="0" borderId="1" xfId="1" applyNumberFormat="1" applyFont="1" applyFill="1" applyBorder="1"/>
    <xf numFmtId="168" fontId="21" fillId="0" borderId="1" xfId="1" applyNumberFormat="1" applyFont="1" applyFill="1" applyBorder="1"/>
    <xf numFmtId="9" fontId="21" fillId="0" borderId="1" xfId="1" applyNumberFormat="1" applyFont="1" applyFill="1" applyBorder="1"/>
    <xf numFmtId="43" fontId="21" fillId="0" borderId="1" xfId="1" applyNumberFormat="1" applyFont="1" applyFill="1" applyBorder="1"/>
    <xf numFmtId="166" fontId="25" fillId="0" borderId="1" xfId="1" applyNumberFormat="1" applyFont="1" applyFill="1" applyBorder="1" applyAlignment="1">
      <alignment horizontal="right"/>
    </xf>
    <xf numFmtId="166" fontId="21" fillId="0" borderId="7" xfId="1" applyNumberFormat="1" applyFont="1" applyFill="1" applyBorder="1"/>
    <xf numFmtId="0" fontId="28" fillId="0" borderId="1" xfId="0" applyFont="1" applyBorder="1"/>
    <xf numFmtId="0" fontId="28" fillId="0" borderId="0" xfId="0" applyFont="1"/>
    <xf numFmtId="166" fontId="5" fillId="0" borderId="1" xfId="1" applyNumberFormat="1" applyFont="1" applyFill="1" applyBorder="1"/>
    <xf numFmtId="166" fontId="21" fillId="0" borderId="5" xfId="1" applyNumberFormat="1" applyFont="1" applyFill="1" applyBorder="1"/>
    <xf numFmtId="166" fontId="26" fillId="0" borderId="0" xfId="1" applyNumberFormat="1" applyFont="1" applyFill="1" applyBorder="1" applyAlignment="1">
      <alignment horizontal="center" vertical="center" wrapText="1"/>
    </xf>
    <xf numFmtId="169" fontId="21" fillId="0" borderId="1" xfId="1" applyNumberFormat="1" applyFont="1" applyFill="1" applyBorder="1"/>
    <xf numFmtId="166" fontId="26" fillId="0" borderId="9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/>
    <xf numFmtId="165" fontId="21" fillId="0" borderId="0" xfId="1" applyFont="1" applyFill="1" applyBorder="1"/>
    <xf numFmtId="165" fontId="21" fillId="0" borderId="0" xfId="0" applyNumberFormat="1" applyFont="1"/>
    <xf numFmtId="3" fontId="21" fillId="0" borderId="0" xfId="0" applyNumberFormat="1" applyFont="1"/>
    <xf numFmtId="10" fontId="21" fillId="0" borderId="0" xfId="2" applyNumberFormat="1" applyFont="1" applyFill="1"/>
    <xf numFmtId="165" fontId="0" fillId="0" borderId="0" xfId="1" applyFont="1" applyFill="1"/>
    <xf numFmtId="165" fontId="21" fillId="0" borderId="1" xfId="1" applyFont="1" applyFill="1" applyBorder="1"/>
    <xf numFmtId="166" fontId="21" fillId="0" borderId="1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>
      <alignment horizontal="center" vertical="center" wrapText="1"/>
    </xf>
    <xf numFmtId="166" fontId="0" fillId="0" borderId="10" xfId="1" applyNumberFormat="1" applyFont="1" applyFill="1" applyBorder="1"/>
    <xf numFmtId="0" fontId="0" fillId="0" borderId="10" xfId="0" applyBorder="1"/>
    <xf numFmtId="166" fontId="21" fillId="0" borderId="9" xfId="1" applyNumberFormat="1" applyFont="1" applyFill="1" applyBorder="1"/>
    <xf numFmtId="0" fontId="21" fillId="0" borderId="9" xfId="0" applyFont="1" applyBorder="1"/>
    <xf numFmtId="166" fontId="0" fillId="0" borderId="0" xfId="1" applyNumberFormat="1" applyFont="1" applyBorder="1"/>
    <xf numFmtId="166" fontId="0" fillId="0" borderId="1" xfId="1" applyNumberFormat="1" applyFont="1" applyFill="1" applyBorder="1"/>
    <xf numFmtId="166" fontId="0" fillId="3" borderId="6" xfId="1" applyNumberFormat="1" applyFont="1" applyFill="1" applyBorder="1"/>
    <xf numFmtId="166" fontId="0" fillId="3" borderId="0" xfId="1" applyNumberFormat="1" applyFont="1" applyFill="1" applyBorder="1"/>
    <xf numFmtId="166" fontId="0" fillId="3" borderId="15" xfId="1" applyNumberFormat="1" applyFont="1" applyFill="1" applyBorder="1"/>
    <xf numFmtId="166" fontId="0" fillId="4" borderId="6" xfId="1" applyNumberFormat="1" applyFont="1" applyFill="1" applyBorder="1"/>
    <xf numFmtId="166" fontId="0" fillId="4" borderId="0" xfId="1" applyNumberFormat="1" applyFont="1" applyFill="1" applyBorder="1"/>
    <xf numFmtId="166" fontId="0" fillId="4" borderId="15" xfId="1" applyNumberFormat="1" applyFont="1" applyFill="1" applyBorder="1"/>
    <xf numFmtId="0" fontId="3" fillId="4" borderId="0" xfId="0" applyFont="1" applyFill="1" applyAlignment="1">
      <alignment horizontal="center" wrapText="1"/>
    </xf>
    <xf numFmtId="0" fontId="0" fillId="3" borderId="6" xfId="0" applyFill="1" applyBorder="1"/>
    <xf numFmtId="0" fontId="0" fillId="3" borderId="0" xfId="0" applyFill="1"/>
    <xf numFmtId="0" fontId="0" fillId="4" borderId="15" xfId="0" applyFill="1" applyBorder="1"/>
    <xf numFmtId="0" fontId="0" fillId="2" borderId="6" xfId="0" applyFill="1" applyBorder="1"/>
    <xf numFmtId="0" fontId="0" fillId="2" borderId="15" xfId="0" applyFill="1" applyBorder="1"/>
    <xf numFmtId="0" fontId="0" fillId="5" borderId="6" xfId="0" applyFill="1" applyBorder="1"/>
    <xf numFmtId="0" fontId="0" fillId="5" borderId="0" xfId="0" applyFill="1"/>
    <xf numFmtId="0" fontId="0" fillId="5" borderId="15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166" fontId="0" fillId="5" borderId="6" xfId="0" applyNumberFormat="1" applyFill="1" applyBorder="1"/>
    <xf numFmtId="10" fontId="0" fillId="5" borderId="0" xfId="2" applyNumberFormat="1" applyFont="1" applyFill="1" applyBorder="1"/>
    <xf numFmtId="166" fontId="0" fillId="5" borderId="0" xfId="1" applyNumberFormat="1" applyFont="1" applyFill="1" applyBorder="1"/>
    <xf numFmtId="166" fontId="0" fillId="5" borderId="15" xfId="1" applyNumberFormat="1" applyFont="1" applyFill="1" applyBorder="1"/>
    <xf numFmtId="0" fontId="0" fillId="4" borderId="6" xfId="0" applyFill="1" applyBorder="1"/>
    <xf numFmtId="0" fontId="0" fillId="3" borderId="15" xfId="0" applyFill="1" applyBorder="1"/>
    <xf numFmtId="0" fontId="0" fillId="6" borderId="21" xfId="0" applyFill="1" applyBorder="1"/>
    <xf numFmtId="0" fontId="0" fillId="6" borderId="11" xfId="0" applyFill="1" applyBorder="1"/>
    <xf numFmtId="0" fontId="0" fillId="6" borderId="20" xfId="0" applyFill="1" applyBorder="1"/>
    <xf numFmtId="166" fontId="29" fillId="0" borderId="1" xfId="1" applyNumberFormat="1" applyFont="1" applyFill="1" applyBorder="1"/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/>
    <xf numFmtId="10" fontId="0" fillId="2" borderId="1" xfId="2" applyNumberFormat="1" applyFont="1" applyFill="1" applyBorder="1"/>
    <xf numFmtId="166" fontId="0" fillId="2" borderId="1" xfId="1" applyNumberFormat="1" applyFont="1" applyFill="1" applyBorder="1"/>
    <xf numFmtId="166" fontId="0" fillId="2" borderId="1" xfId="0" applyNumberFormat="1" applyFill="1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10" fontId="0" fillId="0" borderId="1" xfId="2" applyNumberFormat="1" applyFont="1" applyFill="1" applyBorder="1"/>
    <xf numFmtId="166" fontId="0" fillId="0" borderId="1" xfId="0" applyNumberFormat="1" applyBorder="1"/>
    <xf numFmtId="166" fontId="3" fillId="2" borderId="0" xfId="0" applyNumberFormat="1" applyFont="1" applyFill="1"/>
    <xf numFmtId="166" fontId="3" fillId="0" borderId="0" xfId="0" applyNumberFormat="1" applyFont="1"/>
    <xf numFmtId="168" fontId="26" fillId="0" borderId="1" xfId="1" applyNumberFormat="1" applyFont="1" applyFill="1" applyBorder="1"/>
    <xf numFmtId="166" fontId="26" fillId="0" borderId="1" xfId="1" applyNumberFormat="1" applyFont="1" applyFill="1" applyBorder="1"/>
    <xf numFmtId="0" fontId="0" fillId="2" borderId="0" xfId="0" applyFill="1" applyAlignment="1">
      <alignment horizontal="left"/>
    </xf>
    <xf numFmtId="3" fontId="0" fillId="2" borderId="0" xfId="0" applyNumberFormat="1" applyFill="1"/>
    <xf numFmtId="10" fontId="0" fillId="2" borderId="0" xfId="2" applyNumberFormat="1" applyFont="1" applyFill="1"/>
    <xf numFmtId="166" fontId="0" fillId="2" borderId="0" xfId="1" applyNumberFormat="1" applyFont="1" applyFill="1"/>
    <xf numFmtId="3" fontId="0" fillId="0" borderId="0" xfId="0" applyNumberFormat="1"/>
    <xf numFmtId="10" fontId="0" fillId="0" borderId="0" xfId="2" applyNumberFormat="1" applyFont="1" applyFill="1"/>
    <xf numFmtId="166" fontId="21" fillId="0" borderId="0" xfId="1" applyNumberFormat="1" applyFont="1" applyBorder="1"/>
    <xf numFmtId="0" fontId="7" fillId="2" borderId="1" xfId="4" applyFont="1" applyFill="1" applyBorder="1" applyAlignment="1">
      <alignment wrapText="1"/>
    </xf>
    <xf numFmtId="166" fontId="3" fillId="0" borderId="1" xfId="1" applyNumberFormat="1" applyFont="1" applyBorder="1" applyAlignment="1">
      <alignment horizontal="center" vertical="center" wrapText="1"/>
    </xf>
    <xf numFmtId="166" fontId="26" fillId="0" borderId="1" xfId="1" applyNumberFormat="1" applyFont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0" fillId="0" borderId="1" xfId="4" applyFont="1" applyBorder="1" applyAlignment="1">
      <alignment wrapText="1"/>
    </xf>
    <xf numFmtId="166" fontId="0" fillId="0" borderId="1" xfId="1" applyNumberFormat="1" applyFont="1" applyBorder="1"/>
    <xf numFmtId="166" fontId="31" fillId="0" borderId="1" xfId="1" applyNumberFormat="1" applyFont="1" applyFill="1" applyBorder="1" applyAlignment="1">
      <alignment horizontal="right" wrapText="1"/>
    </xf>
    <xf numFmtId="0" fontId="32" fillId="0" borderId="1" xfId="1" applyNumberFormat="1" applyFont="1" applyFill="1" applyBorder="1" applyAlignment="1">
      <alignment horizontal="left" wrapText="1"/>
    </xf>
    <xf numFmtId="0" fontId="31" fillId="0" borderId="1" xfId="1" applyNumberFormat="1" applyFont="1" applyFill="1" applyBorder="1"/>
    <xf numFmtId="0" fontId="8" fillId="2" borderId="1" xfId="5" applyNumberFormat="1" applyFont="1" applyFill="1" applyBorder="1" applyAlignment="1" applyProtection="1">
      <protection locked="0"/>
    </xf>
    <xf numFmtId="168" fontId="0" fillId="0" borderId="1" xfId="1" applyNumberFormat="1" applyFont="1" applyFill="1" applyBorder="1"/>
    <xf numFmtId="9" fontId="0" fillId="0" borderId="1" xfId="1" applyNumberFormat="1" applyFont="1" applyFill="1" applyBorder="1"/>
    <xf numFmtId="0" fontId="8" fillId="2" borderId="1" xfId="5" applyNumberFormat="1" applyFont="1" applyFill="1" applyBorder="1" applyAlignment="1" applyProtection="1">
      <alignment horizontal="right"/>
      <protection locked="0"/>
    </xf>
    <xf numFmtId="43" fontId="0" fillId="0" borderId="0" xfId="0" applyNumberFormat="1"/>
    <xf numFmtId="0" fontId="8" fillId="2" borderId="1" xfId="6" applyFont="1" applyFill="1" applyBorder="1" applyProtection="1">
      <protection locked="0"/>
    </xf>
    <xf numFmtId="43" fontId="0" fillId="0" borderId="1" xfId="1" applyNumberFormat="1" applyFont="1" applyFill="1" applyBorder="1"/>
    <xf numFmtId="0" fontId="33" fillId="0" borderId="1" xfId="0" applyFont="1" applyBorder="1"/>
    <xf numFmtId="168" fontId="0" fillId="0" borderId="1" xfId="1" applyNumberFormat="1" applyFont="1" applyBorder="1"/>
    <xf numFmtId="9" fontId="0" fillId="0" borderId="1" xfId="1" applyNumberFormat="1" applyFont="1" applyBorder="1"/>
    <xf numFmtId="0" fontId="33" fillId="0" borderId="0" xfId="0" applyFont="1"/>
    <xf numFmtId="166" fontId="34" fillId="0" borderId="1" xfId="1" applyNumberFormat="1" applyFont="1" applyFill="1" applyBorder="1" applyAlignment="1">
      <alignment horizontal="right"/>
    </xf>
    <xf numFmtId="166" fontId="0" fillId="0" borderId="7" xfId="1" applyNumberFormat="1" applyFont="1" applyBorder="1"/>
    <xf numFmtId="0" fontId="8" fillId="2" borderId="2" xfId="5" applyNumberFormat="1" applyFont="1" applyFill="1" applyBorder="1" applyAlignment="1" applyProtection="1">
      <protection locked="0"/>
    </xf>
    <xf numFmtId="0" fontId="8" fillId="2" borderId="1" xfId="6" applyFont="1" applyFill="1" applyBorder="1"/>
    <xf numFmtId="166" fontId="6" fillId="0" borderId="1" xfId="1" applyNumberFormat="1" applyFont="1" applyFill="1" applyBorder="1"/>
    <xf numFmtId="166" fontId="0" fillId="0" borderId="5" xfId="1" applyNumberFormat="1" applyFont="1" applyBorder="1"/>
    <xf numFmtId="165" fontId="0" fillId="0" borderId="1" xfId="1" applyFont="1" applyFill="1" applyBorder="1"/>
    <xf numFmtId="166" fontId="0" fillId="0" borderId="0" xfId="1" quotePrefix="1" applyNumberFormat="1" applyFont="1"/>
    <xf numFmtId="165" fontId="0" fillId="0" borderId="0" xfId="0" applyNumberFormat="1"/>
    <xf numFmtId="165" fontId="0" fillId="0" borderId="1" xfId="1" applyFont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wrapText="1"/>
    </xf>
    <xf numFmtId="0" fontId="3" fillId="6" borderId="20" xfId="0" applyFont="1" applyFill="1" applyBorder="1" applyAlignment="1">
      <alignment wrapText="1"/>
    </xf>
    <xf numFmtId="0" fontId="3" fillId="6" borderId="21" xfId="0" applyFont="1" applyFill="1" applyBorder="1" applyAlignment="1">
      <alignment wrapText="1"/>
    </xf>
    <xf numFmtId="0" fontId="3" fillId="5" borderId="12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</cellXfs>
  <cellStyles count="19">
    <cellStyle name="Comma" xfId="1" builtinId="3"/>
    <cellStyle name="Comma 10" xfId="16" xr:uid="{00000000-0005-0000-0000-000001000000}"/>
    <cellStyle name="Comma 13 3" xfId="14" xr:uid="{00000000-0005-0000-0000-000002000000}"/>
    <cellStyle name="Comma 2" xfId="5" xr:uid="{00000000-0005-0000-0000-000003000000}"/>
    <cellStyle name="Comma 3" xfId="3" xr:uid="{00000000-0005-0000-0000-000004000000}"/>
    <cellStyle name="Currency 11" xfId="15" xr:uid="{00000000-0005-0000-0000-000005000000}"/>
    <cellStyle name="Currency 2" xfId="8" xr:uid="{00000000-0005-0000-0000-000006000000}"/>
    <cellStyle name="Hyperlink" xfId="18" builtinId="8"/>
    <cellStyle name="Normal" xfId="0" builtinId="0"/>
    <cellStyle name="Normal 10" xfId="10" xr:uid="{00000000-0005-0000-0000-000009000000}"/>
    <cellStyle name="Normal 10 3" xfId="17" xr:uid="{00000000-0005-0000-0000-00000A000000}"/>
    <cellStyle name="Normal 14" xfId="12" xr:uid="{00000000-0005-0000-0000-00000B000000}"/>
    <cellStyle name="Normal 18" xfId="13" xr:uid="{00000000-0005-0000-0000-00000C000000}"/>
    <cellStyle name="Normal 2" xfId="9" xr:uid="{00000000-0005-0000-0000-00000D000000}"/>
    <cellStyle name="Normal 2 2 2" xfId="7" xr:uid="{00000000-0005-0000-0000-00000E000000}"/>
    <cellStyle name="Normal 3" xfId="4" xr:uid="{00000000-0005-0000-0000-00000F000000}"/>
    <cellStyle name="Normal 6" xfId="11" xr:uid="{00000000-0005-0000-0000-000010000000}"/>
    <cellStyle name="Normal_Capital Jan - Mar" xfId="6" xr:uid="{00000000-0005-0000-0000-00001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tabSelected="1" zoomScale="130" zoomScaleNormal="130" workbookViewId="0">
      <selection activeCell="E18" sqref="E18"/>
    </sheetView>
  </sheetViews>
  <sheetFormatPr defaultRowHeight="15" x14ac:dyDescent="0.25"/>
  <cols>
    <col min="1" max="1" width="26" customWidth="1"/>
    <col min="2" max="2" width="12.28515625" customWidth="1"/>
    <col min="3" max="3" width="12.140625" customWidth="1"/>
    <col min="4" max="4" width="11.140625" bestFit="1" customWidth="1"/>
    <col min="5" max="5" width="14.85546875" customWidth="1"/>
    <col min="6" max="6" width="12.7109375" customWidth="1"/>
    <col min="7" max="7" width="11.85546875" bestFit="1" customWidth="1"/>
    <col min="8" max="8" width="12.28515625" customWidth="1"/>
    <col min="9" max="9" width="7.28515625" customWidth="1"/>
    <col min="10" max="10" width="16.140625" customWidth="1"/>
    <col min="11" max="11" width="15.5703125" customWidth="1"/>
    <col min="12" max="12" width="11.42578125" bestFit="1" customWidth="1"/>
  </cols>
  <sheetData>
    <row r="1" spans="1:12" s="31" customFormat="1" ht="20.100000000000001" customHeight="1" x14ac:dyDescent="0.25">
      <c r="A1" s="204" t="s">
        <v>164</v>
      </c>
      <c r="B1" s="198" t="s">
        <v>66</v>
      </c>
      <c r="C1" s="201" t="s">
        <v>67</v>
      </c>
      <c r="D1" s="192" t="s">
        <v>157</v>
      </c>
      <c r="E1" s="189" t="s">
        <v>66</v>
      </c>
      <c r="F1" s="195" t="s">
        <v>67</v>
      </c>
      <c r="G1" s="186" t="s">
        <v>157</v>
      </c>
      <c r="H1" s="207" t="s">
        <v>158</v>
      </c>
      <c r="I1" s="210" t="s">
        <v>70</v>
      </c>
      <c r="J1" s="210" t="s">
        <v>163</v>
      </c>
      <c r="K1" s="213" t="s">
        <v>162</v>
      </c>
    </row>
    <row r="2" spans="1:12" s="31" customFormat="1" ht="20.100000000000001" customHeight="1" x14ac:dyDescent="0.25">
      <c r="A2" s="205"/>
      <c r="B2" s="199"/>
      <c r="C2" s="202"/>
      <c r="D2" s="193"/>
      <c r="E2" s="190"/>
      <c r="F2" s="196"/>
      <c r="G2" s="187"/>
      <c r="H2" s="208"/>
      <c r="I2" s="211"/>
      <c r="J2" s="211"/>
      <c r="K2" s="214"/>
    </row>
    <row r="3" spans="1:12" s="31" customFormat="1" ht="20.100000000000001" customHeight="1" thickBot="1" x14ac:dyDescent="0.3">
      <c r="A3" s="206"/>
      <c r="B3" s="200"/>
      <c r="C3" s="203"/>
      <c r="D3" s="194"/>
      <c r="E3" s="191"/>
      <c r="F3" s="197"/>
      <c r="G3" s="188"/>
      <c r="H3" s="209"/>
      <c r="I3" s="212"/>
      <c r="J3" s="212"/>
      <c r="K3" s="215" t="s">
        <v>0</v>
      </c>
    </row>
    <row r="4" spans="1:12" s="31" customFormat="1" ht="15.75" thickBot="1" x14ac:dyDescent="0.3">
      <c r="A4" s="125"/>
      <c r="B4" s="108"/>
      <c r="C4" s="109"/>
      <c r="D4" s="124"/>
      <c r="E4" s="123"/>
      <c r="F4" s="107"/>
      <c r="G4" s="110"/>
      <c r="H4" s="113"/>
      <c r="I4" s="114"/>
      <c r="J4" s="114"/>
      <c r="K4" s="115"/>
    </row>
    <row r="5" spans="1:12" s="31" customFormat="1" ht="15.75" thickBot="1" x14ac:dyDescent="0.3">
      <c r="A5" s="126"/>
      <c r="B5" s="180" t="s">
        <v>160</v>
      </c>
      <c r="C5" s="181"/>
      <c r="D5" s="182"/>
      <c r="E5" s="183" t="s">
        <v>161</v>
      </c>
      <c r="F5" s="184"/>
      <c r="G5" s="185"/>
      <c r="H5" s="116"/>
      <c r="I5" s="117"/>
      <c r="J5" s="117"/>
      <c r="K5" s="118"/>
    </row>
    <row r="6" spans="1:12" x14ac:dyDescent="0.25">
      <c r="A6" s="127" t="s">
        <v>145</v>
      </c>
      <c r="B6" s="101">
        <f>VRZ_Summary!B6</f>
        <v>17262760.084483925</v>
      </c>
      <c r="C6" s="102">
        <f>VRZ_Summary!C6</f>
        <v>17574312.216971923</v>
      </c>
      <c r="D6" s="103">
        <f>C6-B6</f>
        <v>311552.13248799741</v>
      </c>
      <c r="E6" s="104">
        <f>WRZ_Summary!B6</f>
        <v>5951300.8600000003</v>
      </c>
      <c r="F6" s="105">
        <f>WRZ_Summary!C6</f>
        <v>6087515.7700000005</v>
      </c>
      <c r="G6" s="106">
        <f>F6-E6</f>
        <v>136214.91000000015</v>
      </c>
      <c r="H6" s="119">
        <f>D6+G6</f>
        <v>447767.04248799756</v>
      </c>
      <c r="I6" s="120">
        <v>0.26500000000000001</v>
      </c>
      <c r="J6" s="121">
        <f>H6*I6</f>
        <v>118658.26625931935</v>
      </c>
      <c r="K6" s="122">
        <f>J6/(1-I6)</f>
        <v>161439.81803989029</v>
      </c>
      <c r="L6" s="4"/>
    </row>
    <row r="7" spans="1:12" x14ac:dyDescent="0.25">
      <c r="A7" s="127" t="s">
        <v>159</v>
      </c>
      <c r="B7" s="101">
        <f>VRZ_Summary!B7</f>
        <v>3973894.9775313614</v>
      </c>
      <c r="C7" s="102">
        <f>VRZ_Summary!C7</f>
        <v>4004438.3065914894</v>
      </c>
      <c r="D7" s="103">
        <f t="shared" ref="D7:D15" si="0">C7-B7</f>
        <v>30543.329060127959</v>
      </c>
      <c r="E7" s="104">
        <f>WRZ_Summary!B7</f>
        <v>1399980.0971835619</v>
      </c>
      <c r="F7" s="105">
        <f>WRZ_Summary!C7</f>
        <v>1423003.0706876712</v>
      </c>
      <c r="G7" s="106">
        <f t="shared" ref="G7:G15" si="1">F7-E7</f>
        <v>23022.973504109308</v>
      </c>
      <c r="H7" s="119">
        <f t="shared" ref="H7:H15" si="2">D7+G7</f>
        <v>53566.302564237267</v>
      </c>
      <c r="I7" s="120">
        <f t="shared" ref="I7:I15" si="3">I6</f>
        <v>0.26500000000000001</v>
      </c>
      <c r="J7" s="121">
        <f t="shared" ref="J7:J15" si="4">H7*I7</f>
        <v>14195.070179522876</v>
      </c>
      <c r="K7" s="122">
        <f t="shared" ref="K7:K15" si="5">J7/(1-I7)</f>
        <v>19313.020652412077</v>
      </c>
      <c r="L7" s="4"/>
    </row>
    <row r="8" spans="1:12" x14ac:dyDescent="0.25">
      <c r="A8" s="127" t="s">
        <v>146</v>
      </c>
      <c r="B8" s="101">
        <f>VRZ_Summary!B8</f>
        <v>13208547.034659378</v>
      </c>
      <c r="C8" s="102">
        <f>VRZ_Summary!C8</f>
        <v>15356252.320569564</v>
      </c>
      <c r="D8" s="103">
        <f t="shared" si="0"/>
        <v>2147705.2859101854</v>
      </c>
      <c r="E8" s="104">
        <f>WRZ_Summary!B8</f>
        <v>4620470.3862702884</v>
      </c>
      <c r="F8" s="105">
        <f>WRZ_Summary!C8</f>
        <v>5242631.8482499449</v>
      </c>
      <c r="G8" s="106">
        <f t="shared" si="1"/>
        <v>622161.46197965648</v>
      </c>
      <c r="H8" s="119">
        <f>D8+G8</f>
        <v>2769866.7478898419</v>
      </c>
      <c r="I8" s="120">
        <f t="shared" si="3"/>
        <v>0.26500000000000001</v>
      </c>
      <c r="J8" s="121">
        <f t="shared" si="4"/>
        <v>734014.68819080817</v>
      </c>
      <c r="K8" s="122">
        <f t="shared" si="5"/>
        <v>998659.43971538532</v>
      </c>
      <c r="L8" s="4"/>
    </row>
    <row r="9" spans="1:12" x14ac:dyDescent="0.25">
      <c r="A9" s="127" t="s">
        <v>147</v>
      </c>
      <c r="B9" s="101">
        <f>VRZ_Summary!B9</f>
        <v>19634122.604713764</v>
      </c>
      <c r="C9" s="102">
        <f>VRZ_Summary!C9</f>
        <v>22343217.175417066</v>
      </c>
      <c r="D9" s="103">
        <f t="shared" si="0"/>
        <v>2709094.5707033016</v>
      </c>
      <c r="E9" s="104">
        <f>WRZ_Summary!B9</f>
        <v>6448471.6028955197</v>
      </c>
      <c r="F9" s="105">
        <f>WRZ_Summary!C9</f>
        <v>6998507.5388182877</v>
      </c>
      <c r="G9" s="106">
        <f>F9-E9</f>
        <v>550035.93592276797</v>
      </c>
      <c r="H9" s="119">
        <f t="shared" si="2"/>
        <v>3259130.5066260695</v>
      </c>
      <c r="I9" s="120">
        <f>I8</f>
        <v>0.26500000000000001</v>
      </c>
      <c r="J9" s="121">
        <f t="shared" si="4"/>
        <v>863669.5842559085</v>
      </c>
      <c r="K9" s="122">
        <f t="shared" si="5"/>
        <v>1175060.6588515763</v>
      </c>
      <c r="L9" s="4"/>
    </row>
    <row r="10" spans="1:12" x14ac:dyDescent="0.25">
      <c r="A10" s="127" t="s">
        <v>148</v>
      </c>
      <c r="B10" s="101">
        <f>VRZ_Summary!B10</f>
        <v>20976663.125613872</v>
      </c>
      <c r="C10" s="102">
        <f>VRZ_Summary!C10</f>
        <v>23480643.505918112</v>
      </c>
      <c r="D10" s="103">
        <f t="shared" si="0"/>
        <v>2503980.3803042397</v>
      </c>
      <c r="E10" s="104">
        <f>WRZ_Summary!B10</f>
        <v>6765200.9464839287</v>
      </c>
      <c r="F10" s="105">
        <f>WRZ_Summary!C10</f>
        <v>7758031.8924833788</v>
      </c>
      <c r="G10" s="106">
        <f t="shared" si="1"/>
        <v>992830.94599945005</v>
      </c>
      <c r="H10" s="119">
        <f t="shared" si="2"/>
        <v>3496811.3263036897</v>
      </c>
      <c r="I10" s="120">
        <f>I9</f>
        <v>0.26500000000000001</v>
      </c>
      <c r="J10" s="121">
        <f t="shared" si="4"/>
        <v>926655.00147047779</v>
      </c>
      <c r="K10" s="122">
        <f t="shared" si="5"/>
        <v>1260755.1040414665</v>
      </c>
      <c r="L10" s="4"/>
    </row>
    <row r="11" spans="1:12" x14ac:dyDescent="0.25">
      <c r="A11" s="127" t="s">
        <v>149</v>
      </c>
      <c r="B11" s="101">
        <f>VRZ_Summary!B11</f>
        <v>23045855.852137156</v>
      </c>
      <c r="C11" s="102">
        <f>VRZ_Summary!C11</f>
        <v>28386159.398298852</v>
      </c>
      <c r="D11" s="103">
        <f t="shared" si="0"/>
        <v>5340303.5461616963</v>
      </c>
      <c r="E11" s="104">
        <f>WRZ_Summary!B11</f>
        <v>7856521.7944010673</v>
      </c>
      <c r="F11" s="105">
        <f>WRZ_Summary!C11</f>
        <v>9684500.1584060919</v>
      </c>
      <c r="G11" s="106">
        <f t="shared" si="1"/>
        <v>1827978.3640050245</v>
      </c>
      <c r="H11" s="119">
        <f t="shared" si="2"/>
        <v>7168281.9101667209</v>
      </c>
      <c r="I11" s="120">
        <f t="shared" si="3"/>
        <v>0.26500000000000001</v>
      </c>
      <c r="J11" s="121">
        <f t="shared" si="4"/>
        <v>1899594.7061941812</v>
      </c>
      <c r="K11" s="122">
        <f t="shared" si="5"/>
        <v>2584482.5934614711</v>
      </c>
      <c r="L11" s="4"/>
    </row>
    <row r="12" spans="1:12" x14ac:dyDescent="0.25">
      <c r="A12" s="127" t="s">
        <v>150</v>
      </c>
      <c r="B12" s="101">
        <f>VRZ_Summary!B12</f>
        <v>24613004.121934701</v>
      </c>
      <c r="C12" s="102">
        <f>VRZ_Summary!C12</f>
        <v>26595641.984482989</v>
      </c>
      <c r="D12" s="103">
        <f t="shared" si="0"/>
        <v>1982637.862548288</v>
      </c>
      <c r="E12" s="104">
        <f>WRZ_Summary!B12</f>
        <v>8813968.3348167762</v>
      </c>
      <c r="F12" s="105">
        <f>WRZ_Summary!C12</f>
        <v>9587239.4256060869</v>
      </c>
      <c r="G12" s="106">
        <f t="shared" si="1"/>
        <v>773271.09078931063</v>
      </c>
      <c r="H12" s="119">
        <f t="shared" si="2"/>
        <v>2755908.9533375986</v>
      </c>
      <c r="I12" s="120">
        <f t="shared" si="3"/>
        <v>0.26500000000000001</v>
      </c>
      <c r="J12" s="121">
        <f t="shared" si="4"/>
        <v>730315.87263446371</v>
      </c>
      <c r="K12" s="122">
        <f t="shared" si="5"/>
        <v>993627.0375979098</v>
      </c>
      <c r="L12" s="4"/>
    </row>
    <row r="13" spans="1:12" x14ac:dyDescent="0.25">
      <c r="A13" s="127" t="s">
        <v>151</v>
      </c>
      <c r="B13" s="101">
        <f>VRZ_Summary!B13</f>
        <v>24730555.797672473</v>
      </c>
      <c r="C13" s="102">
        <f>VRZ_Summary!C13</f>
        <v>23845421.448768515</v>
      </c>
      <c r="D13" s="103">
        <f t="shared" si="0"/>
        <v>-885134.34890395775</v>
      </c>
      <c r="E13" s="104">
        <f>WRZ_Summary!B13</f>
        <v>8946260.7859098092</v>
      </c>
      <c r="F13" s="105">
        <f>WRZ_Summary!C13</f>
        <v>8693605.6973362491</v>
      </c>
      <c r="G13" s="106">
        <f t="shared" si="1"/>
        <v>-252655.08857356012</v>
      </c>
      <c r="H13" s="119">
        <f t="shared" si="2"/>
        <v>-1137789.4374775179</v>
      </c>
      <c r="I13" s="120">
        <f t="shared" si="3"/>
        <v>0.26500000000000001</v>
      </c>
      <c r="J13" s="121">
        <f t="shared" si="4"/>
        <v>-301514.20093154226</v>
      </c>
      <c r="K13" s="122">
        <f t="shared" si="5"/>
        <v>-410223.40262794867</v>
      </c>
      <c r="L13" s="4"/>
    </row>
    <row r="14" spans="1:12" x14ac:dyDescent="0.25">
      <c r="A14" s="127" t="s">
        <v>156</v>
      </c>
      <c r="B14" s="101">
        <f>VRZ_Summary!B14</f>
        <v>25531461.125496984</v>
      </c>
      <c r="C14" s="102">
        <f>VRZ_Summary!C14</f>
        <v>28202356.337296266</v>
      </c>
      <c r="D14" s="103">
        <f t="shared" si="0"/>
        <v>2670895.2117992826</v>
      </c>
      <c r="E14" s="104">
        <f>WRZ_Summary!B14</f>
        <v>10409500.21979665</v>
      </c>
      <c r="F14" s="105">
        <f>WRZ_Summary!C14</f>
        <v>13746020.426242396</v>
      </c>
      <c r="G14" s="106">
        <f t="shared" si="1"/>
        <v>3336520.2064457461</v>
      </c>
      <c r="H14" s="119">
        <f t="shared" si="2"/>
        <v>6007415.4182450287</v>
      </c>
      <c r="I14" s="120">
        <f t="shared" si="3"/>
        <v>0.26500000000000001</v>
      </c>
      <c r="J14" s="121">
        <f t="shared" si="4"/>
        <v>1591965.0858349327</v>
      </c>
      <c r="K14" s="122">
        <f t="shared" si="5"/>
        <v>2165938.8922924255</v>
      </c>
      <c r="L14" s="4"/>
    </row>
    <row r="15" spans="1:12" x14ac:dyDescent="0.25">
      <c r="A15" s="127" t="s">
        <v>115</v>
      </c>
      <c r="B15" s="101">
        <f>VRZ_Summary!B15</f>
        <v>26338611.264620349</v>
      </c>
      <c r="C15" s="102">
        <f>VRZ_Summary!C15</f>
        <v>27501578.936261501</v>
      </c>
      <c r="D15" s="103">
        <f t="shared" si="0"/>
        <v>1162967.6716411524</v>
      </c>
      <c r="E15" s="104">
        <f>WRZ_Summary!B15</f>
        <v>11013728.824415091</v>
      </c>
      <c r="F15" s="105">
        <f>WRZ_Summary!C15</f>
        <v>9708491.0824850257</v>
      </c>
      <c r="G15" s="106">
        <f t="shared" si="1"/>
        <v>-1305237.7419300657</v>
      </c>
      <c r="H15" s="119">
        <f t="shared" si="2"/>
        <v>-142270.07028891332</v>
      </c>
      <c r="I15" s="120">
        <f t="shared" si="3"/>
        <v>0.26500000000000001</v>
      </c>
      <c r="J15" s="121">
        <f t="shared" si="4"/>
        <v>-37701.568626562032</v>
      </c>
      <c r="K15" s="122">
        <f t="shared" si="5"/>
        <v>-51294.651192601406</v>
      </c>
    </row>
    <row r="16" spans="1:12" x14ac:dyDescent="0.25">
      <c r="K16" s="140">
        <f>SUM(K6:K15)</f>
        <v>8897758.5108319856</v>
      </c>
    </row>
  </sheetData>
  <mergeCells count="13">
    <mergeCell ref="A1:A3"/>
    <mergeCell ref="H1:H3"/>
    <mergeCell ref="I1:I3"/>
    <mergeCell ref="J1:J3"/>
    <mergeCell ref="K1:K3"/>
    <mergeCell ref="B5:D5"/>
    <mergeCell ref="E5:G5"/>
    <mergeCell ref="G1:G3"/>
    <mergeCell ref="E1:E3"/>
    <mergeCell ref="D1:D3"/>
    <mergeCell ref="F1:F3"/>
    <mergeCell ref="B1:B3"/>
    <mergeCell ref="C1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0" sqref="G10"/>
    </sheetView>
  </sheetViews>
  <sheetFormatPr defaultColWidth="9.140625" defaultRowHeight="15" x14ac:dyDescent="0.25"/>
  <cols>
    <col min="1" max="1" width="17.28515625" style="31" customWidth="1"/>
    <col min="2" max="2" width="12.140625" style="31" customWidth="1"/>
    <col min="3" max="3" width="10.7109375" style="31" customWidth="1"/>
    <col min="4" max="4" width="10.85546875" style="31" customWidth="1"/>
    <col min="5" max="5" width="7.85546875" style="31" customWidth="1"/>
    <col min="6" max="6" width="11.28515625" style="31" customWidth="1"/>
    <col min="7" max="7" width="13.140625" style="31" customWidth="1"/>
    <col min="8" max="8" width="10.5703125" style="31" hidden="1" customWidth="1"/>
    <col min="9" max="9" width="11.5703125" style="31" hidden="1" customWidth="1"/>
    <col min="10" max="10" width="14.85546875" style="31" customWidth="1"/>
    <col min="11" max="16384" width="9.140625" style="31"/>
  </cols>
  <sheetData>
    <row r="1" spans="1:9" ht="15" customHeight="1" x14ac:dyDescent="0.25">
      <c r="B1" s="222" t="s">
        <v>66</v>
      </c>
      <c r="C1" s="216" t="s">
        <v>67</v>
      </c>
      <c r="D1" s="216" t="s">
        <v>56</v>
      </c>
      <c r="E1" s="216" t="s">
        <v>70</v>
      </c>
      <c r="F1" s="216" t="s">
        <v>68</v>
      </c>
      <c r="G1" s="216" t="s">
        <v>72</v>
      </c>
      <c r="H1" s="216" t="s">
        <v>72</v>
      </c>
      <c r="I1" s="219" t="s">
        <v>72</v>
      </c>
    </row>
    <row r="2" spans="1:9" ht="15" customHeight="1" x14ac:dyDescent="0.25">
      <c r="B2" s="223"/>
      <c r="C2" s="217"/>
      <c r="D2" s="217"/>
      <c r="E2" s="217"/>
      <c r="F2" s="217"/>
      <c r="G2" s="217"/>
      <c r="H2" s="217"/>
      <c r="I2" s="220"/>
    </row>
    <row r="3" spans="1:9" ht="15" customHeight="1" x14ac:dyDescent="0.25">
      <c r="B3" s="224"/>
      <c r="C3" s="218"/>
      <c r="D3" s="218"/>
      <c r="E3" s="218"/>
      <c r="F3" s="218"/>
      <c r="G3" s="218" t="s">
        <v>71</v>
      </c>
      <c r="H3" s="218" t="s">
        <v>71</v>
      </c>
      <c r="I3" s="221" t="s">
        <v>71</v>
      </c>
    </row>
    <row r="4" spans="1:9" x14ac:dyDescent="0.25">
      <c r="B4" s="111"/>
      <c r="I4" s="112"/>
    </row>
    <row r="5" spans="1:9" x14ac:dyDescent="0.25">
      <c r="A5" s="32"/>
      <c r="B5" s="111"/>
      <c r="G5" s="31" t="s">
        <v>127</v>
      </c>
      <c r="H5" s="31" t="s">
        <v>125</v>
      </c>
      <c r="I5" s="112" t="s">
        <v>11</v>
      </c>
    </row>
    <row r="6" spans="1:9" x14ac:dyDescent="0.25">
      <c r="A6" s="129" t="s">
        <v>145</v>
      </c>
      <c r="B6" s="130">
        <f>'VRZ_CCA - wo accel CCA'!M30</f>
        <v>17262760.084483925</v>
      </c>
      <c r="C6" s="130">
        <f>'VRZ_CCA_w accel CCA'!M31</f>
        <v>17574312.216971923</v>
      </c>
      <c r="D6" s="130">
        <f>C6-B6</f>
        <v>311552.13248799741</v>
      </c>
      <c r="E6" s="131">
        <v>0.26500000000000001</v>
      </c>
      <c r="F6" s="132">
        <f>D6*E6</f>
        <v>82561.315109319316</v>
      </c>
      <c r="G6" s="132">
        <f>F6/(1-E6)</f>
        <v>112328.31987662493</v>
      </c>
      <c r="H6" s="133">
        <v>49111.498163265365</v>
      </c>
      <c r="I6" s="133">
        <f>SUM(G6:H6)</f>
        <v>161439.81803989029</v>
      </c>
    </row>
    <row r="7" spans="1:9" x14ac:dyDescent="0.25">
      <c r="A7" s="134" t="s">
        <v>152</v>
      </c>
      <c r="B7" s="130">
        <f>'VRZ_CCA - wo accel CCA'!M59</f>
        <v>3973894.9775313614</v>
      </c>
      <c r="C7" s="130">
        <f>'VRZ_CCA_w accel CCA'!M61</f>
        <v>4004438.3065914894</v>
      </c>
      <c r="D7" s="130">
        <f>C7-B7</f>
        <v>30543.329060127959</v>
      </c>
      <c r="E7" s="131">
        <f t="shared" ref="E7:E15" si="0">E6</f>
        <v>0.26500000000000001</v>
      </c>
      <c r="F7" s="132">
        <f>D7*E7</f>
        <v>8093.9822009339096</v>
      </c>
      <c r="G7" s="132">
        <f t="shared" ref="G7:G15" si="1">F7/(1-E7)</f>
        <v>11012.220681542734</v>
      </c>
      <c r="H7" s="133">
        <v>8300.7999708693424</v>
      </c>
      <c r="I7" s="133">
        <f t="shared" ref="I7:I14" si="2">SUM(G7:H7)</f>
        <v>19313.020652412077</v>
      </c>
    </row>
    <row r="8" spans="1:9" x14ac:dyDescent="0.25">
      <c r="A8" s="134" t="s">
        <v>153</v>
      </c>
      <c r="B8" s="130">
        <f>'VRZ_CCA - wo accel CCA'!M88</f>
        <v>13208547.034659378</v>
      </c>
      <c r="C8" s="130">
        <f>'VRZ_CCA_w accel CCA'!M92</f>
        <v>15356252.320569564</v>
      </c>
      <c r="D8" s="130">
        <f>C8-B8</f>
        <v>2147705.2859101854</v>
      </c>
      <c r="E8" s="131">
        <f t="shared" si="0"/>
        <v>0.26500000000000001</v>
      </c>
      <c r="F8" s="132">
        <f>D8*E8</f>
        <v>569141.90076619922</v>
      </c>
      <c r="G8" s="132">
        <f t="shared" si="1"/>
        <v>774342.72213088325</v>
      </c>
      <c r="H8" s="133">
        <v>224316.71758450201</v>
      </c>
      <c r="I8" s="133">
        <f t="shared" si="2"/>
        <v>998659.4397153852</v>
      </c>
    </row>
    <row r="9" spans="1:9" x14ac:dyDescent="0.25">
      <c r="A9" s="129" t="s">
        <v>147</v>
      </c>
      <c r="B9" s="130">
        <f>'VRZ_CCA - wo accel CCA'!M117</f>
        <v>19634122.604713764</v>
      </c>
      <c r="C9" s="130">
        <f>'VRZ_CCA_w accel CCA'!M124</f>
        <v>22343217.175417066</v>
      </c>
      <c r="D9" s="130">
        <f>C9-B9</f>
        <v>2709094.5707033016</v>
      </c>
      <c r="E9" s="131">
        <f>E8</f>
        <v>0.26500000000000001</v>
      </c>
      <c r="F9" s="132">
        <f>D9*E9</f>
        <v>717910.06123637501</v>
      </c>
      <c r="G9" s="132">
        <f>F9/(1-E9)</f>
        <v>976748.38263452379</v>
      </c>
      <c r="H9" s="133">
        <v>198312.27621705242</v>
      </c>
      <c r="I9" s="133">
        <f t="shared" si="2"/>
        <v>1175060.6588515763</v>
      </c>
    </row>
    <row r="10" spans="1:9" x14ac:dyDescent="0.25">
      <c r="A10" s="129" t="s">
        <v>148</v>
      </c>
      <c r="B10" s="130">
        <f>'VRZ_CCA - wo accel CCA'!M146</f>
        <v>20976663.125613872</v>
      </c>
      <c r="C10" s="130">
        <f>'VRZ_CCA_w accel CCA'!M155</f>
        <v>23480643.505918112</v>
      </c>
      <c r="D10" s="130">
        <f>C10-B10</f>
        <v>2503980.3803042397</v>
      </c>
      <c r="E10" s="131">
        <f>E9</f>
        <v>0.26500000000000001</v>
      </c>
      <c r="F10" s="132">
        <f>D10*E10</f>
        <v>663554.80078062357</v>
      </c>
      <c r="G10" s="100">
        <f t="shared" si="1"/>
        <v>902795.64732057624</v>
      </c>
      <c r="H10" s="133">
        <v>357959.45672089019</v>
      </c>
      <c r="I10" s="133">
        <f t="shared" si="2"/>
        <v>1260755.1040414665</v>
      </c>
    </row>
    <row r="11" spans="1:9" x14ac:dyDescent="0.25">
      <c r="A11" s="129" t="s">
        <v>149</v>
      </c>
      <c r="B11" s="130">
        <f>'VRZ_CCA - wo accel CCA'!M175</f>
        <v>23045855.852137156</v>
      </c>
      <c r="C11" s="130">
        <f>'VRZ_CCA_w accel CCA'!M186</f>
        <v>28386159.398298852</v>
      </c>
      <c r="D11" s="130">
        <f t="shared" ref="D11:D15" si="3">C11-B11</f>
        <v>5340303.5461616963</v>
      </c>
      <c r="E11" s="131">
        <f t="shared" si="0"/>
        <v>0.26500000000000001</v>
      </c>
      <c r="F11" s="132">
        <f t="shared" ref="F11:F15" si="4">D11*E11</f>
        <v>1415180.4397328496</v>
      </c>
      <c r="G11" s="100">
        <f t="shared" si="1"/>
        <v>1925415.5642623804</v>
      </c>
      <c r="H11" s="133">
        <v>659067.02919909055</v>
      </c>
      <c r="I11" s="133">
        <f>SUM(G11:H11)</f>
        <v>2584482.5934614707</v>
      </c>
    </row>
    <row r="12" spans="1:9" x14ac:dyDescent="0.25">
      <c r="A12" s="135" t="s">
        <v>150</v>
      </c>
      <c r="B12" s="136">
        <f>'VRZ_CCA - wo accel CCA'!M206</f>
        <v>24613004.121934701</v>
      </c>
      <c r="C12" s="136">
        <f>'VRZ_CCA_w accel CCA'!M219</f>
        <v>26595641.984482989</v>
      </c>
      <c r="D12" s="136">
        <f>C12-B12</f>
        <v>1982637.862548288</v>
      </c>
      <c r="E12" s="137">
        <f t="shared" si="0"/>
        <v>0.26500000000000001</v>
      </c>
      <c r="F12" s="100">
        <f t="shared" si="4"/>
        <v>525399.03357529629</v>
      </c>
      <c r="G12" s="100">
        <f t="shared" si="1"/>
        <v>714828.61710924667</v>
      </c>
      <c r="H12" s="138">
        <v>278798.42048866308</v>
      </c>
      <c r="I12" s="138">
        <f t="shared" si="2"/>
        <v>993627.0375979098</v>
      </c>
    </row>
    <row r="13" spans="1:9" x14ac:dyDescent="0.25">
      <c r="A13" s="129" t="s">
        <v>151</v>
      </c>
      <c r="B13" s="130">
        <f>'VRZ_CCA - wo accel CCA'!M237</f>
        <v>24730555.797672473</v>
      </c>
      <c r="C13" s="130">
        <f>'VRZ_CCA_w accel CCA'!M252</f>
        <v>23845421.448768515</v>
      </c>
      <c r="D13" s="132">
        <f t="shared" si="3"/>
        <v>-885134.34890395775</v>
      </c>
      <c r="E13" s="131">
        <f t="shared" si="0"/>
        <v>0.26500000000000001</v>
      </c>
      <c r="F13" s="132">
        <f t="shared" si="4"/>
        <v>-234560.60245954883</v>
      </c>
      <c r="G13" s="100">
        <f>F13/(1-E13)</f>
        <v>-319130.07137353584</v>
      </c>
      <c r="H13" s="133">
        <v>-91093.331254412842</v>
      </c>
      <c r="I13" s="133">
        <f>SUM(G13:H13)</f>
        <v>-410223.40262794867</v>
      </c>
    </row>
    <row r="14" spans="1:9" x14ac:dyDescent="0.25">
      <c r="A14" s="129" t="s">
        <v>156</v>
      </c>
      <c r="B14" s="130">
        <f>'VRZ_CCA - wo accel CCA'!M268</f>
        <v>25531461.125496984</v>
      </c>
      <c r="C14" s="130">
        <f>'VRZ_CCA_w accel CCA'!M285</f>
        <v>28202356.337296266</v>
      </c>
      <c r="D14" s="132">
        <f t="shared" si="3"/>
        <v>2670895.2117992826</v>
      </c>
      <c r="E14" s="131">
        <f t="shared" si="0"/>
        <v>0.26500000000000001</v>
      </c>
      <c r="F14" s="132">
        <f t="shared" si="4"/>
        <v>707787.23112680996</v>
      </c>
      <c r="G14" s="100">
        <f t="shared" si="1"/>
        <v>962975.82466232649</v>
      </c>
      <c r="H14" s="133">
        <v>1202963.0676300991</v>
      </c>
      <c r="I14" s="133">
        <f t="shared" si="2"/>
        <v>2165938.8922924255</v>
      </c>
    </row>
    <row r="15" spans="1:9" x14ac:dyDescent="0.25">
      <c r="A15" s="129" t="s">
        <v>115</v>
      </c>
      <c r="B15" s="130">
        <f>'VRZ_CCA - wo accel CCA'!M299</f>
        <v>26338611.264620349</v>
      </c>
      <c r="C15" s="130">
        <f>'VRZ_CCA_w accel CCA'!M318</f>
        <v>27501578.936261501</v>
      </c>
      <c r="D15" s="130">
        <f t="shared" si="3"/>
        <v>1162967.6716411524</v>
      </c>
      <c r="E15" s="131">
        <f t="shared" si="0"/>
        <v>0.26500000000000001</v>
      </c>
      <c r="F15" s="132">
        <f t="shared" si="4"/>
        <v>308186.43298490538</v>
      </c>
      <c r="G15" s="100">
        <f t="shared" si="1"/>
        <v>419301.26936721819</v>
      </c>
      <c r="H15" s="133">
        <v>-470595.92055981961</v>
      </c>
      <c r="I15" s="133">
        <f>SUM(G15:H15)</f>
        <v>-51294.651192601421</v>
      </c>
    </row>
    <row r="16" spans="1:9" x14ac:dyDescent="0.25">
      <c r="I16" s="139">
        <f>SUM(I6:I15)</f>
        <v>8897758.5108319856</v>
      </c>
    </row>
    <row r="17" spans="1:10" x14ac:dyDescent="0.25">
      <c r="D17"/>
      <c r="E17"/>
      <c r="F17"/>
      <c r="G17" s="4"/>
      <c r="H17" s="4"/>
      <c r="I17"/>
      <c r="J17"/>
    </row>
    <row r="18" spans="1:10" x14ac:dyDescent="0.25">
      <c r="D18" s="4"/>
      <c r="E18"/>
      <c r="F18"/>
      <c r="G18" s="4"/>
      <c r="H18" s="4"/>
      <c r="I18"/>
      <c r="J18"/>
    </row>
    <row r="19" spans="1:10" x14ac:dyDescent="0.25">
      <c r="D19" s="4"/>
      <c r="E19"/>
      <c r="F19"/>
      <c r="G19" s="4"/>
      <c r="H19" s="4"/>
      <c r="I19"/>
      <c r="J19"/>
    </row>
    <row r="20" spans="1:10" x14ac:dyDescent="0.25">
      <c r="D20"/>
      <c r="E20"/>
      <c r="F20"/>
      <c r="G20"/>
      <c r="H20"/>
      <c r="I20"/>
      <c r="J20"/>
    </row>
    <row r="21" spans="1:10" x14ac:dyDescent="0.25">
      <c r="D21"/>
      <c r="E21"/>
      <c r="F21"/>
      <c r="G21"/>
      <c r="H21"/>
      <c r="I21"/>
      <c r="J21"/>
    </row>
    <row r="22" spans="1:10" x14ac:dyDescent="0.25">
      <c r="D22"/>
      <c r="E22"/>
      <c r="F22"/>
      <c r="G22"/>
      <c r="H22"/>
      <c r="I22"/>
      <c r="J22"/>
    </row>
    <row r="23" spans="1:10" x14ac:dyDescent="0.25">
      <c r="D23"/>
      <c r="E23"/>
      <c r="F23"/>
      <c r="G23"/>
      <c r="H23"/>
      <c r="I23"/>
      <c r="J23"/>
    </row>
    <row r="24" spans="1:10" x14ac:dyDescent="0.25">
      <c r="D24"/>
      <c r="E24"/>
      <c r="F24"/>
      <c r="G24"/>
      <c r="H24"/>
      <c r="I24"/>
      <c r="J24"/>
    </row>
    <row r="25" spans="1:10" x14ac:dyDescent="0.25">
      <c r="A25" s="34"/>
      <c r="D25"/>
      <c r="E25"/>
      <c r="F25"/>
      <c r="G25"/>
      <c r="H25"/>
      <c r="I25"/>
      <c r="J25"/>
    </row>
    <row r="26" spans="1:10" x14ac:dyDescent="0.25">
      <c r="A26"/>
      <c r="D26" s="4"/>
      <c r="E26"/>
      <c r="F26"/>
      <c r="G26"/>
      <c r="H26"/>
      <c r="I26" s="25"/>
      <c r="J26"/>
    </row>
    <row r="27" spans="1:10" x14ac:dyDescent="0.25">
      <c r="D27" s="4"/>
      <c r="E27" s="4"/>
      <c r="F27"/>
      <c r="G27"/>
      <c r="H27" s="4"/>
      <c r="I27" s="25"/>
      <c r="J27" s="50"/>
    </row>
    <row r="28" spans="1:10" x14ac:dyDescent="0.25">
      <c r="D28"/>
      <c r="E28" s="50"/>
      <c r="F28"/>
      <c r="G28"/>
      <c r="H28"/>
      <c r="I28" s="25"/>
      <c r="J28"/>
    </row>
    <row r="29" spans="1:10" x14ac:dyDescent="0.25">
      <c r="A29"/>
      <c r="D29" s="4"/>
      <c r="E29" s="50"/>
      <c r="F29"/>
      <c r="G29"/>
      <c r="H29"/>
      <c r="I29"/>
      <c r="J29"/>
    </row>
    <row r="30" spans="1:10" x14ac:dyDescent="0.25">
      <c r="D30"/>
      <c r="E30" s="4"/>
      <c r="F30"/>
      <c r="G30"/>
      <c r="H30" s="4"/>
      <c r="I30"/>
      <c r="J30"/>
    </row>
    <row r="31" spans="1:10" x14ac:dyDescent="0.25">
      <c r="D31"/>
      <c r="E31" s="50"/>
      <c r="F31"/>
      <c r="G31"/>
      <c r="H31"/>
      <c r="I31"/>
      <c r="J31" s="46"/>
    </row>
    <row r="32" spans="1:10" x14ac:dyDescent="0.25">
      <c r="A32"/>
      <c r="D32" s="4"/>
      <c r="E32" s="50"/>
      <c r="F32"/>
      <c r="G32"/>
      <c r="H32"/>
      <c r="I32"/>
      <c r="J32" s="46"/>
    </row>
    <row r="33" spans="1:10" x14ac:dyDescent="0.25">
      <c r="D33"/>
      <c r="E33" s="4"/>
      <c r="F33"/>
      <c r="G33"/>
      <c r="H33" s="4"/>
      <c r="I33" s="4"/>
      <c r="J33"/>
    </row>
    <row r="34" spans="1:10" x14ac:dyDescent="0.25">
      <c r="A34" s="47"/>
      <c r="B34"/>
      <c r="C34"/>
      <c r="D34"/>
      <c r="E34" s="50"/>
      <c r="F34"/>
      <c r="G34"/>
      <c r="H34"/>
      <c r="I34"/>
      <c r="J34"/>
    </row>
    <row r="35" spans="1:10" x14ac:dyDescent="0.25">
      <c r="A35"/>
      <c r="B35"/>
      <c r="C35"/>
      <c r="D35" s="4"/>
      <c r="E35" s="50"/>
      <c r="F35"/>
      <c r="G35"/>
      <c r="H35"/>
      <c r="I35"/>
      <c r="J35"/>
    </row>
    <row r="36" spans="1:10" x14ac:dyDescent="0.25">
      <c r="A36"/>
      <c r="B36"/>
      <c r="C36"/>
      <c r="D36"/>
      <c r="E36" s="4"/>
      <c r="F36"/>
      <c r="G36"/>
      <c r="H36" s="51"/>
      <c r="I36"/>
      <c r="J36"/>
    </row>
    <row r="37" spans="1:10" x14ac:dyDescent="0.25">
      <c r="A37" s="36"/>
      <c r="D37"/>
      <c r="E37" s="50"/>
      <c r="F37"/>
      <c r="G37"/>
      <c r="H37"/>
      <c r="I37"/>
      <c r="J37"/>
    </row>
    <row r="38" spans="1:10" x14ac:dyDescent="0.25">
      <c r="A38"/>
      <c r="D38" s="4"/>
      <c r="E38" s="50"/>
      <c r="F38"/>
      <c r="G38"/>
      <c r="H38" s="51"/>
      <c r="I38"/>
      <c r="J38"/>
    </row>
    <row r="39" spans="1:10" x14ac:dyDescent="0.25">
      <c r="D39"/>
      <c r="E39" s="4"/>
      <c r="F39"/>
      <c r="G39"/>
      <c r="H39"/>
      <c r="I39"/>
      <c r="J39"/>
    </row>
    <row r="40" spans="1:10" x14ac:dyDescent="0.25">
      <c r="A40" s="36"/>
      <c r="D40"/>
      <c r="E40" s="50"/>
      <c r="F40"/>
      <c r="G40"/>
      <c r="H40"/>
      <c r="I40"/>
      <c r="J40"/>
    </row>
    <row r="41" spans="1:10" x14ac:dyDescent="0.25">
      <c r="A41"/>
      <c r="C41"/>
      <c r="D41" s="4"/>
      <c r="E41" s="50"/>
      <c r="F41"/>
      <c r="G41"/>
      <c r="H41" s="51"/>
      <c r="I41"/>
      <c r="J41"/>
    </row>
    <row r="42" spans="1:10" x14ac:dyDescent="0.25">
      <c r="C42"/>
      <c r="D42"/>
      <c r="E42" s="4"/>
      <c r="F42"/>
      <c r="G42"/>
      <c r="H42"/>
      <c r="I42"/>
      <c r="J42"/>
    </row>
    <row r="43" spans="1:10" x14ac:dyDescent="0.25">
      <c r="A43" s="36"/>
      <c r="D43"/>
      <c r="E43" s="50"/>
      <c r="F43"/>
      <c r="G43"/>
      <c r="H43"/>
      <c r="I43"/>
      <c r="J43"/>
    </row>
    <row r="44" spans="1:10" x14ac:dyDescent="0.25">
      <c r="A44"/>
      <c r="D44" s="4"/>
      <c r="E44" s="50"/>
      <c r="F44"/>
      <c r="G44"/>
      <c r="H44"/>
      <c r="I44"/>
      <c r="J44"/>
    </row>
    <row r="45" spans="1:10" x14ac:dyDescent="0.25">
      <c r="D45"/>
      <c r="E45" s="4"/>
      <c r="F45"/>
      <c r="G45"/>
      <c r="H45"/>
      <c r="I45"/>
      <c r="J45"/>
    </row>
    <row r="46" spans="1:10" x14ac:dyDescent="0.25">
      <c r="A46" s="36"/>
      <c r="D46"/>
      <c r="E46" s="50"/>
      <c r="F46"/>
      <c r="G46"/>
      <c r="H46"/>
      <c r="I46"/>
      <c r="J46"/>
    </row>
    <row r="47" spans="1:10" x14ac:dyDescent="0.25">
      <c r="A47"/>
      <c r="D47" s="4"/>
      <c r="E47" s="50"/>
      <c r="F47"/>
      <c r="G47"/>
      <c r="H47"/>
      <c r="I47"/>
      <c r="J47"/>
    </row>
    <row r="48" spans="1:10" x14ac:dyDescent="0.25">
      <c r="D48"/>
      <c r="E48" s="4"/>
      <c r="F48"/>
      <c r="G48"/>
      <c r="H48"/>
      <c r="I48"/>
      <c r="J48"/>
    </row>
    <row r="49" spans="1:5" x14ac:dyDescent="0.25">
      <c r="A49" s="36"/>
      <c r="E49" s="33"/>
    </row>
    <row r="50" spans="1:5" x14ac:dyDescent="0.25">
      <c r="A50"/>
      <c r="D50" s="35"/>
      <c r="E50" s="33"/>
    </row>
    <row r="51" spans="1:5" x14ac:dyDescent="0.25">
      <c r="E51" s="35"/>
    </row>
    <row r="52" spans="1:5" x14ac:dyDescent="0.25">
      <c r="E52" s="35"/>
    </row>
    <row r="53" spans="1:5" x14ac:dyDescent="0.25">
      <c r="A53" s="37"/>
    </row>
    <row r="54" spans="1:5" x14ac:dyDescent="0.25">
      <c r="A54" s="38"/>
    </row>
  </sheetData>
  <mergeCells count="8">
    <mergeCell ref="H1:H3"/>
    <mergeCell ref="I1:I3"/>
    <mergeCell ref="G1:G3"/>
    <mergeCell ref="E1:E3"/>
    <mergeCell ref="B1:B3"/>
    <mergeCell ref="C1:C3"/>
    <mergeCell ref="D1:D3"/>
    <mergeCell ref="F1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4443-F6CB-4C8D-B96C-B787F40B533A}">
  <dimension ref="A1:G15"/>
  <sheetViews>
    <sheetView zoomScale="120" zoomScaleNormal="120" workbookViewId="0">
      <selection activeCell="G21" sqref="G21"/>
    </sheetView>
  </sheetViews>
  <sheetFormatPr defaultColWidth="9.140625" defaultRowHeight="15" x14ac:dyDescent="0.25"/>
  <cols>
    <col min="1" max="1" width="18.7109375" style="31" customWidth="1"/>
    <col min="2" max="2" width="12.42578125" style="31" customWidth="1"/>
    <col min="3" max="3" width="11.85546875" style="31" customWidth="1"/>
    <col min="4" max="4" width="11.28515625" style="31" bestFit="1" customWidth="1"/>
    <col min="5" max="5" width="10.42578125" style="31" customWidth="1"/>
    <col min="6" max="6" width="11.28515625" style="31" customWidth="1"/>
    <col min="7" max="7" width="13.5703125" style="31" customWidth="1"/>
    <col min="8" max="8" width="10" style="31" bestFit="1" customWidth="1"/>
    <col min="9" max="16384" width="9.140625" style="31"/>
  </cols>
  <sheetData>
    <row r="1" spans="1:7" ht="15" customHeight="1" x14ac:dyDescent="0.25">
      <c r="B1" s="217" t="s">
        <v>66</v>
      </c>
      <c r="C1" s="217" t="s">
        <v>67</v>
      </c>
      <c r="D1" s="217" t="s">
        <v>157</v>
      </c>
      <c r="E1" s="217" t="s">
        <v>70</v>
      </c>
      <c r="F1" s="217" t="s">
        <v>68</v>
      </c>
      <c r="G1" s="217" t="s">
        <v>72</v>
      </c>
    </row>
    <row r="2" spans="1:7" ht="15" customHeight="1" x14ac:dyDescent="0.25">
      <c r="B2" s="217"/>
      <c r="C2" s="217"/>
      <c r="D2" s="217"/>
      <c r="E2" s="217"/>
      <c r="F2" s="217"/>
      <c r="G2" s="217"/>
    </row>
    <row r="3" spans="1:7" ht="15" customHeight="1" x14ac:dyDescent="0.25">
      <c r="B3" s="218"/>
      <c r="C3" s="218"/>
      <c r="D3" s="218"/>
      <c r="E3" s="218"/>
      <c r="F3" s="218"/>
      <c r="G3" s="218" t="s">
        <v>71</v>
      </c>
    </row>
    <row r="5" spans="1:7" x14ac:dyDescent="0.25">
      <c r="A5" s="32" t="s">
        <v>108</v>
      </c>
    </row>
    <row r="6" spans="1:7" x14ac:dyDescent="0.25">
      <c r="A6" s="143">
        <v>2018</v>
      </c>
      <c r="B6" s="144">
        <f>'WRZ_CCA - wo accelerated'!M23</f>
        <v>5951300.8600000003</v>
      </c>
      <c r="C6" s="144">
        <f>'WRZ_CCA - w accelerated'!M23</f>
        <v>6087515.7700000005</v>
      </c>
      <c r="D6" s="144">
        <f>C6-B6</f>
        <v>136214.91000000015</v>
      </c>
      <c r="E6" s="145">
        <v>0.26500000000000001</v>
      </c>
      <c r="F6" s="146">
        <f t="shared" ref="F6:F12" si="0">D6*E6</f>
        <v>36096.951150000044</v>
      </c>
      <c r="G6" s="146">
        <f t="shared" ref="G6:G14" si="1">F6/(1-E6)</f>
        <v>49111.498163265365</v>
      </c>
    </row>
    <row r="7" spans="1:7" x14ac:dyDescent="0.25">
      <c r="A7" s="143" t="s">
        <v>166</v>
      </c>
      <c r="B7" s="144">
        <f>'WRZ_CCA - wo accelerated'!M47</f>
        <v>1399980.0971835619</v>
      </c>
      <c r="C7" s="144">
        <f>'WRZ_CCA - w accelerated'!M47</f>
        <v>1423003.0706876712</v>
      </c>
      <c r="D7" s="144">
        <f t="shared" ref="D7:D15" si="2">C7-B7</f>
        <v>23022.973504109308</v>
      </c>
      <c r="E7" s="145">
        <f t="shared" ref="E7:E15" si="3">E6</f>
        <v>0.26500000000000001</v>
      </c>
      <c r="F7" s="146">
        <f t="shared" si="0"/>
        <v>6101.0879785889665</v>
      </c>
      <c r="G7" s="146">
        <f t="shared" si="1"/>
        <v>8300.7999708693424</v>
      </c>
    </row>
    <row r="8" spans="1:7" x14ac:dyDescent="0.25">
      <c r="A8" s="46" t="s">
        <v>167</v>
      </c>
      <c r="B8" s="147">
        <f>'WRZ_CCA - wo accelerated'!M71</f>
        <v>4620470.3862702884</v>
      </c>
      <c r="C8" s="147">
        <f>'WRZ_CCA - w accelerated'!M71</f>
        <v>5242631.8482499449</v>
      </c>
      <c r="D8" s="147">
        <f t="shared" si="2"/>
        <v>622161.46197965648</v>
      </c>
      <c r="E8" s="148">
        <f>E7</f>
        <v>0.26500000000000001</v>
      </c>
      <c r="F8" s="25">
        <f t="shared" si="0"/>
        <v>164872.78742460898</v>
      </c>
      <c r="G8" s="25">
        <f t="shared" si="1"/>
        <v>224316.71758450201</v>
      </c>
    </row>
    <row r="9" spans="1:7" x14ac:dyDescent="0.25">
      <c r="A9" s="143">
        <v>2020</v>
      </c>
      <c r="B9" s="144">
        <f>'WRZ_CCA - wo accelerated'!M95</f>
        <v>6448471.6028955197</v>
      </c>
      <c r="C9" s="147">
        <f>'WRZ_CCA - w accelerated'!M95</f>
        <v>6998507.5388182877</v>
      </c>
      <c r="D9" s="144">
        <f t="shared" si="2"/>
        <v>550035.93592276797</v>
      </c>
      <c r="E9" s="145">
        <f t="shared" si="3"/>
        <v>0.26500000000000001</v>
      </c>
      <c r="F9" s="146">
        <f t="shared" si="0"/>
        <v>145759.52301953352</v>
      </c>
      <c r="G9" s="146">
        <f t="shared" si="1"/>
        <v>198312.27621705242</v>
      </c>
    </row>
    <row r="10" spans="1:7" x14ac:dyDescent="0.25">
      <c r="A10" s="143">
        <v>2021</v>
      </c>
      <c r="B10" s="144">
        <f>'WRZ_CCA - wo accelerated'!M119</f>
        <v>6765200.9464839287</v>
      </c>
      <c r="C10" s="147">
        <f>'WRZ_CCA - w accelerated'!M120</f>
        <v>7758031.8924833788</v>
      </c>
      <c r="D10" s="144">
        <f t="shared" si="2"/>
        <v>992830.94599945005</v>
      </c>
      <c r="E10" s="145">
        <f t="shared" si="3"/>
        <v>0.26500000000000001</v>
      </c>
      <c r="F10" s="146">
        <f t="shared" si="0"/>
        <v>263100.20068985427</v>
      </c>
      <c r="G10" s="25">
        <f t="shared" si="1"/>
        <v>357959.45672089019</v>
      </c>
    </row>
    <row r="11" spans="1:7" x14ac:dyDescent="0.25">
      <c r="A11" s="143">
        <v>2022</v>
      </c>
      <c r="B11" s="144">
        <f>'WRZ_CCA - wo accelerated'!M143</f>
        <v>7856521.7944010673</v>
      </c>
      <c r="C11" s="147">
        <f>'WRZ_CCA - w accelerated'!M145</f>
        <v>9684500.1584060919</v>
      </c>
      <c r="D11" s="144">
        <f t="shared" si="2"/>
        <v>1827978.3640050245</v>
      </c>
      <c r="E11" s="145">
        <f t="shared" si="3"/>
        <v>0.26500000000000001</v>
      </c>
      <c r="F11" s="146">
        <f t="shared" si="0"/>
        <v>484414.26646133151</v>
      </c>
      <c r="G11" s="25">
        <f t="shared" si="1"/>
        <v>659067.02919909055</v>
      </c>
    </row>
    <row r="12" spans="1:7" x14ac:dyDescent="0.25">
      <c r="A12" s="46">
        <v>2023</v>
      </c>
      <c r="B12" s="147">
        <f>'WRZ_CCA - wo accelerated'!M169</f>
        <v>8813968.3348167762</v>
      </c>
      <c r="C12" s="147">
        <f>'WRZ_CCA - w accelerated'!M172</f>
        <v>9587239.4256060869</v>
      </c>
      <c r="D12" s="147">
        <f t="shared" si="2"/>
        <v>773271.09078931063</v>
      </c>
      <c r="E12" s="148">
        <f t="shared" si="3"/>
        <v>0.26500000000000001</v>
      </c>
      <c r="F12" s="25">
        <f t="shared" si="0"/>
        <v>204916.83905916734</v>
      </c>
      <c r="G12" s="25">
        <f t="shared" si="1"/>
        <v>278798.42048866308</v>
      </c>
    </row>
    <row r="13" spans="1:7" x14ac:dyDescent="0.25">
      <c r="A13" s="143">
        <v>2024</v>
      </c>
      <c r="B13" s="144">
        <f>'WRZ_CCA - wo accelerated'!M195</f>
        <v>8946260.7859098092</v>
      </c>
      <c r="C13" s="144">
        <f>'WRZ_CCA - w accelerated'!M199</f>
        <v>8693605.6973362491</v>
      </c>
      <c r="D13" s="146">
        <f t="shared" si="2"/>
        <v>-252655.08857356012</v>
      </c>
      <c r="E13" s="145">
        <f t="shared" si="3"/>
        <v>0.26500000000000001</v>
      </c>
      <c r="F13" s="146">
        <f>D13*E13</f>
        <v>-66953.598471993435</v>
      </c>
      <c r="G13" s="25">
        <f t="shared" si="1"/>
        <v>-91093.331254412842</v>
      </c>
    </row>
    <row r="14" spans="1:7" x14ac:dyDescent="0.25">
      <c r="A14" s="143" t="s">
        <v>156</v>
      </c>
      <c r="B14" s="144">
        <f>'WRZ_CCA - wo accelerated'!M221</f>
        <v>10409500.21979665</v>
      </c>
      <c r="C14" s="144">
        <f>'WRZ_CCA - w accelerated'!M226</f>
        <v>13746020.426242396</v>
      </c>
      <c r="D14" s="146">
        <f t="shared" si="2"/>
        <v>3336520.2064457461</v>
      </c>
      <c r="E14" s="145">
        <f t="shared" si="3"/>
        <v>0.26500000000000001</v>
      </c>
      <c r="F14" s="146">
        <f>D14*E14</f>
        <v>884177.85470812279</v>
      </c>
      <c r="G14" s="25">
        <f t="shared" si="1"/>
        <v>1202963.0676300991</v>
      </c>
    </row>
    <row r="15" spans="1:7" x14ac:dyDescent="0.25">
      <c r="A15" s="143" t="s">
        <v>115</v>
      </c>
      <c r="B15" s="144">
        <f>'WRZ_CCA - wo accelerated'!M247</f>
        <v>11013728.824415091</v>
      </c>
      <c r="C15" s="144">
        <f>'WRZ_CCA - w accelerated'!M253</f>
        <v>9708491.0824850257</v>
      </c>
      <c r="D15" s="146">
        <f t="shared" si="2"/>
        <v>-1305237.7419300657</v>
      </c>
      <c r="E15" s="145">
        <f t="shared" si="3"/>
        <v>0.26500000000000001</v>
      </c>
      <c r="F15" s="146">
        <f>D15*E15</f>
        <v>-345888.00161146739</v>
      </c>
      <c r="G15" s="25">
        <f>F15/(1-E15)</f>
        <v>-470595.92055981961</v>
      </c>
    </row>
  </sheetData>
  <mergeCells count="6">
    <mergeCell ref="G1:G3"/>
    <mergeCell ref="B1:B3"/>
    <mergeCell ref="C1:C3"/>
    <mergeCell ref="D1:D3"/>
    <mergeCell ref="E1:E3"/>
    <mergeCell ref="F1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9"/>
  <sheetViews>
    <sheetView zoomScale="93" zoomScaleNormal="93" workbookViewId="0">
      <selection activeCell="N3" sqref="N3"/>
    </sheetView>
  </sheetViews>
  <sheetFormatPr defaultRowHeight="15" x14ac:dyDescent="0.25"/>
  <cols>
    <col min="1" max="1" width="9" style="68" customWidth="1"/>
    <col min="2" max="2" width="52.7109375" style="68" customWidth="1"/>
    <col min="3" max="3" width="15.7109375" style="68" customWidth="1"/>
    <col min="4" max="4" width="14" style="67" bestFit="1" customWidth="1"/>
    <col min="5" max="5" width="16" style="67" customWidth="1"/>
    <col min="6" max="6" width="13.28515625" style="67" customWidth="1"/>
    <col min="7" max="7" width="12.5703125" style="67" customWidth="1"/>
    <col min="8" max="8" width="15" style="67" customWidth="1"/>
    <col min="9" max="9" width="15.28515625" style="67" customWidth="1"/>
    <col min="10" max="10" width="7.85546875" style="67" customWidth="1"/>
    <col min="11" max="11" width="9.7109375" style="67" bestFit="1" customWidth="1"/>
    <col min="12" max="12" width="8.7109375" style="67" bestFit="1" customWidth="1"/>
    <col min="13" max="13" width="14.42578125" style="67" customWidth="1"/>
    <col min="14" max="14" width="14.7109375" style="68" customWidth="1"/>
    <col min="15" max="15" width="12.140625" style="42" customWidth="1"/>
    <col min="16" max="16" width="15.140625" style="25" customWidth="1"/>
    <col min="17" max="17" width="13.85546875" style="25" customWidth="1"/>
    <col min="18" max="18" width="10.85546875" bestFit="1" customWidth="1"/>
    <col min="20" max="20" width="20.85546875" customWidth="1"/>
    <col min="21" max="21" width="13.5703125" bestFit="1" customWidth="1"/>
  </cols>
  <sheetData>
    <row r="1" spans="1:17" ht="15.75" x14ac:dyDescent="0.25">
      <c r="A1" s="52" t="s">
        <v>95</v>
      </c>
      <c r="B1" s="52"/>
      <c r="C1" s="66"/>
      <c r="D1" s="40"/>
      <c r="E1" s="40"/>
      <c r="F1" s="40"/>
      <c r="G1" s="40"/>
      <c r="H1" s="40"/>
      <c r="I1" s="40"/>
      <c r="J1" s="40"/>
      <c r="K1" s="40" t="s">
        <v>0</v>
      </c>
      <c r="L1" s="40"/>
    </row>
    <row r="4" spans="1:17" x14ac:dyDescent="0.25">
      <c r="A4" s="68">
        <v>2018</v>
      </c>
      <c r="B4" s="68" t="s">
        <v>65</v>
      </c>
    </row>
    <row r="5" spans="1:17" ht="60.6" customHeight="1" x14ac:dyDescent="0.25">
      <c r="A5" s="53" t="s">
        <v>2</v>
      </c>
      <c r="B5" s="53" t="s">
        <v>3</v>
      </c>
      <c r="C5" s="53" t="s">
        <v>59</v>
      </c>
      <c r="D5" s="69" t="s">
        <v>60</v>
      </c>
      <c r="E5" s="69" t="s">
        <v>69</v>
      </c>
      <c r="F5" s="69" t="s">
        <v>4</v>
      </c>
      <c r="G5" s="69" t="s">
        <v>12</v>
      </c>
      <c r="H5" s="69" t="s">
        <v>5</v>
      </c>
      <c r="I5" s="69" t="s">
        <v>6</v>
      </c>
      <c r="J5" s="69" t="s">
        <v>57</v>
      </c>
      <c r="K5" s="69" t="s">
        <v>58</v>
      </c>
      <c r="L5" s="69" t="s">
        <v>7</v>
      </c>
      <c r="M5" s="69" t="s">
        <v>61</v>
      </c>
      <c r="N5" s="69" t="s">
        <v>8</v>
      </c>
    </row>
    <row r="6" spans="1:17" x14ac:dyDescent="0.25">
      <c r="A6" s="53"/>
      <c r="B6" s="53"/>
      <c r="C6" s="70"/>
      <c r="D6" s="28"/>
      <c r="E6" s="39"/>
      <c r="F6" s="1"/>
      <c r="G6" s="1"/>
      <c r="H6" s="1"/>
      <c r="I6" s="71"/>
      <c r="J6" s="72"/>
      <c r="K6" s="1"/>
      <c r="L6" s="1"/>
      <c r="M6" s="73"/>
      <c r="N6" s="73"/>
      <c r="O6" s="42" t="s">
        <v>0</v>
      </c>
      <c r="P6" s="25" t="s">
        <v>0</v>
      </c>
    </row>
    <row r="7" spans="1:17" x14ac:dyDescent="0.25">
      <c r="A7" s="3">
        <v>1</v>
      </c>
      <c r="B7" s="3" t="s">
        <v>94</v>
      </c>
      <c r="C7" s="54">
        <v>83277635.254966199</v>
      </c>
      <c r="D7" s="29">
        <v>0</v>
      </c>
      <c r="E7" s="39"/>
      <c r="F7" s="2"/>
      <c r="G7" s="2"/>
      <c r="H7" s="39">
        <f>SUM(D7+G7)/2</f>
        <v>0</v>
      </c>
      <c r="I7" s="74">
        <f>C7+H7</f>
        <v>83277635.254966199</v>
      </c>
      <c r="J7" s="75">
        <v>0.04</v>
      </c>
      <c r="K7" s="2"/>
      <c r="L7" s="2"/>
      <c r="M7" s="39">
        <f t="shared" ref="M7:M19" si="0">I7*J7</f>
        <v>3331105.410198648</v>
      </c>
      <c r="N7" s="39">
        <f t="shared" ref="N7:N30" si="1">H7+I7-M7</f>
        <v>79946529.844767556</v>
      </c>
    </row>
    <row r="8" spans="1:17" x14ac:dyDescent="0.25">
      <c r="A8" s="55" t="s">
        <v>92</v>
      </c>
      <c r="B8" s="3" t="s">
        <v>93</v>
      </c>
      <c r="C8" s="54">
        <v>9436001.5832011383</v>
      </c>
      <c r="D8" s="29">
        <v>648395</v>
      </c>
      <c r="E8" s="39">
        <v>0</v>
      </c>
      <c r="F8" s="2" t="s">
        <v>0</v>
      </c>
      <c r="G8" s="2"/>
      <c r="H8" s="74">
        <f>SUM(D8+G8)/2</f>
        <v>324197.5</v>
      </c>
      <c r="I8" s="74">
        <f>C8+H8</f>
        <v>9760199.0832011383</v>
      </c>
      <c r="J8" s="75">
        <v>0.06</v>
      </c>
      <c r="K8" s="2"/>
      <c r="L8" s="2"/>
      <c r="M8" s="39">
        <f t="shared" si="0"/>
        <v>585611.94499206822</v>
      </c>
      <c r="N8" s="39">
        <f t="shared" si="1"/>
        <v>9498784.638209071</v>
      </c>
      <c r="P8" s="25" t="s">
        <v>0</v>
      </c>
      <c r="Q8" s="25" t="s">
        <v>0</v>
      </c>
    </row>
    <row r="9" spans="1:17" x14ac:dyDescent="0.25">
      <c r="A9" s="55" t="s">
        <v>92</v>
      </c>
      <c r="B9" s="3" t="s">
        <v>91</v>
      </c>
      <c r="C9" s="54"/>
      <c r="D9" s="29"/>
      <c r="E9" s="39">
        <v>113121</v>
      </c>
      <c r="F9" s="2"/>
      <c r="G9" s="2"/>
      <c r="H9" s="74"/>
      <c r="I9" s="74">
        <f>E9</f>
        <v>113121</v>
      </c>
      <c r="J9" s="75">
        <f>J8*1.5</f>
        <v>0.09</v>
      </c>
      <c r="K9" s="2"/>
      <c r="L9" s="2"/>
      <c r="M9" s="39">
        <f t="shared" si="0"/>
        <v>10180.89</v>
      </c>
      <c r="N9" s="39">
        <f t="shared" si="1"/>
        <v>102940.11</v>
      </c>
    </row>
    <row r="10" spans="1:17" x14ac:dyDescent="0.25">
      <c r="A10" s="56">
        <v>8</v>
      </c>
      <c r="B10" s="56" t="s">
        <v>90</v>
      </c>
      <c r="C10" s="54">
        <v>4454571.9544081017</v>
      </c>
      <c r="D10" s="29">
        <v>679269.76</v>
      </c>
      <c r="E10" s="39">
        <v>0</v>
      </c>
      <c r="F10" s="2"/>
      <c r="G10" s="2"/>
      <c r="H10" s="74">
        <f>SUM(D10+G10)/2</f>
        <v>339634.88</v>
      </c>
      <c r="I10" s="74">
        <f>C10+H10</f>
        <v>4794206.8344081016</v>
      </c>
      <c r="J10" s="75">
        <v>0.2</v>
      </c>
      <c r="K10" s="2"/>
      <c r="L10" s="2"/>
      <c r="M10" s="39">
        <f t="shared" si="0"/>
        <v>958841.36688162037</v>
      </c>
      <c r="N10" s="39">
        <f t="shared" si="1"/>
        <v>4175000.3475264814</v>
      </c>
    </row>
    <row r="11" spans="1:17" x14ac:dyDescent="0.25">
      <c r="A11" s="56">
        <v>8</v>
      </c>
      <c r="B11" s="56" t="s">
        <v>62</v>
      </c>
      <c r="C11" s="54"/>
      <c r="D11" s="29"/>
      <c r="E11" s="39">
        <v>223905</v>
      </c>
      <c r="F11" s="2"/>
      <c r="G11" s="2"/>
      <c r="H11" s="39"/>
      <c r="I11" s="74">
        <f>E11</f>
        <v>223905</v>
      </c>
      <c r="J11" s="75">
        <f>J10*1.5</f>
        <v>0.30000000000000004</v>
      </c>
      <c r="K11" s="2"/>
      <c r="L11" s="2"/>
      <c r="M11" s="39">
        <f t="shared" si="0"/>
        <v>67171.500000000015</v>
      </c>
      <c r="N11" s="39">
        <f t="shared" si="1"/>
        <v>156733.5</v>
      </c>
    </row>
    <row r="12" spans="1:17" x14ac:dyDescent="0.25">
      <c r="A12" s="3">
        <v>10</v>
      </c>
      <c r="B12" s="3" t="s">
        <v>9</v>
      </c>
      <c r="C12" s="54">
        <v>2949506.2952036802</v>
      </c>
      <c r="D12" s="29">
        <v>369100</v>
      </c>
      <c r="E12" s="39">
        <v>0</v>
      </c>
      <c r="F12" s="2"/>
      <c r="G12" s="2">
        <v>-68142</v>
      </c>
      <c r="H12" s="39">
        <f>SUM(D12+G12)/2</f>
        <v>150479</v>
      </c>
      <c r="I12" s="74">
        <f>C12+H12</f>
        <v>3099985.2952036802</v>
      </c>
      <c r="J12" s="75">
        <v>0.3</v>
      </c>
      <c r="K12" s="2"/>
      <c r="L12" s="2"/>
      <c r="M12" s="39">
        <f t="shared" si="0"/>
        <v>929995.58856110403</v>
      </c>
      <c r="N12" s="39">
        <f t="shared" si="1"/>
        <v>2320468.706642576</v>
      </c>
    </row>
    <row r="13" spans="1:17" x14ac:dyDescent="0.25">
      <c r="A13" s="3">
        <v>10</v>
      </c>
      <c r="B13" s="3" t="s">
        <v>89</v>
      </c>
      <c r="C13" s="54"/>
      <c r="D13" s="29"/>
      <c r="E13" s="39">
        <v>39648</v>
      </c>
      <c r="F13" s="2"/>
      <c r="G13" s="2"/>
      <c r="H13" s="39"/>
      <c r="I13" s="74">
        <f>E13</f>
        <v>39648</v>
      </c>
      <c r="J13" s="75">
        <f>J12*1.5</f>
        <v>0.44999999999999996</v>
      </c>
      <c r="K13" s="2"/>
      <c r="L13" s="2"/>
      <c r="M13" s="39">
        <f t="shared" si="0"/>
        <v>17841.599999999999</v>
      </c>
      <c r="N13" s="39">
        <f t="shared" si="1"/>
        <v>21806.400000000001</v>
      </c>
    </row>
    <row r="14" spans="1:17" x14ac:dyDescent="0.25">
      <c r="A14" s="56">
        <v>10.1</v>
      </c>
      <c r="B14" s="3" t="s">
        <v>88</v>
      </c>
      <c r="C14" s="54">
        <v>1146.1000868100002</v>
      </c>
      <c r="D14" s="29">
        <v>0</v>
      </c>
      <c r="E14" s="39"/>
      <c r="F14" s="2"/>
      <c r="G14" s="2"/>
      <c r="H14" s="39">
        <f>SUM(D14+G14)/2</f>
        <v>0</v>
      </c>
      <c r="I14" s="74">
        <f>C14+H14</f>
        <v>1146.1000868100002</v>
      </c>
      <c r="J14" s="75">
        <v>0.3</v>
      </c>
      <c r="K14" s="2"/>
      <c r="L14" s="2"/>
      <c r="M14" s="74">
        <f t="shared" si="0"/>
        <v>343.83002604300003</v>
      </c>
      <c r="N14" s="39">
        <f t="shared" si="1"/>
        <v>802.27006076700013</v>
      </c>
    </row>
    <row r="15" spans="1:17" x14ac:dyDescent="0.25">
      <c r="A15" s="56">
        <v>10.1</v>
      </c>
      <c r="B15" s="3" t="s">
        <v>87</v>
      </c>
      <c r="C15" s="54">
        <v>1148.1754151700004</v>
      </c>
      <c r="D15" s="29">
        <v>0</v>
      </c>
      <c r="E15" s="39"/>
      <c r="F15" s="2"/>
      <c r="G15" s="2"/>
      <c r="H15" s="39">
        <f>SUM(D15+G15)/2</f>
        <v>0</v>
      </c>
      <c r="I15" s="74">
        <f>C15+H15</f>
        <v>1148.1754151700004</v>
      </c>
      <c r="J15" s="75">
        <v>0.3</v>
      </c>
      <c r="K15" s="2"/>
      <c r="L15" s="2"/>
      <c r="M15" s="74">
        <f t="shared" si="0"/>
        <v>344.4526245510001</v>
      </c>
      <c r="N15" s="39">
        <f t="shared" si="1"/>
        <v>803.72279061900031</v>
      </c>
    </row>
    <row r="16" spans="1:17" x14ac:dyDescent="0.25">
      <c r="A16" s="56">
        <v>10.1</v>
      </c>
      <c r="B16" s="3" t="s">
        <v>86</v>
      </c>
      <c r="C16" s="54">
        <v>1661.1274081500001</v>
      </c>
      <c r="D16" s="29">
        <v>0</v>
      </c>
      <c r="E16" s="39"/>
      <c r="F16" s="2"/>
      <c r="G16" s="2"/>
      <c r="H16" s="39">
        <f>SUM(D16+G16)/2</f>
        <v>0</v>
      </c>
      <c r="I16" s="74">
        <f>C16+H16</f>
        <v>1661.1274081500001</v>
      </c>
      <c r="J16" s="75">
        <v>0.3</v>
      </c>
      <c r="K16" s="2"/>
      <c r="L16" s="2"/>
      <c r="M16" s="74">
        <f t="shared" si="0"/>
        <v>498.33822244499999</v>
      </c>
      <c r="N16" s="39">
        <f t="shared" si="1"/>
        <v>1162.7891857050001</v>
      </c>
    </row>
    <row r="17" spans="1:14" x14ac:dyDescent="0.25">
      <c r="A17" s="56">
        <v>10.1</v>
      </c>
      <c r="B17" s="3" t="s">
        <v>85</v>
      </c>
      <c r="C17" s="54">
        <v>2372.8991521899998</v>
      </c>
      <c r="D17" s="29">
        <v>0</v>
      </c>
      <c r="E17" s="39"/>
      <c r="F17" s="2"/>
      <c r="G17" s="2"/>
      <c r="H17" s="39">
        <f>SUM(D17+G17)/2</f>
        <v>0</v>
      </c>
      <c r="I17" s="74">
        <f>C17+H17</f>
        <v>2372.8991521899998</v>
      </c>
      <c r="J17" s="75">
        <v>0.3</v>
      </c>
      <c r="K17" s="2"/>
      <c r="L17" s="2"/>
      <c r="M17" s="74">
        <f t="shared" si="0"/>
        <v>711.86974565699995</v>
      </c>
      <c r="N17" s="39">
        <f t="shared" si="1"/>
        <v>1661.0294065329999</v>
      </c>
    </row>
    <row r="18" spans="1:14" x14ac:dyDescent="0.25">
      <c r="A18" s="56">
        <v>12</v>
      </c>
      <c r="B18" s="57" t="s">
        <v>84</v>
      </c>
      <c r="C18" s="54">
        <v>443165</v>
      </c>
      <c r="D18" s="29">
        <v>436539.36499999999</v>
      </c>
      <c r="E18" s="39">
        <v>0</v>
      </c>
      <c r="F18" s="2"/>
      <c r="G18" s="2"/>
      <c r="H18" s="74">
        <f>SUM(D18+G18)/2</f>
        <v>218269.6825</v>
      </c>
      <c r="I18" s="76">
        <f>C18+H18</f>
        <v>661434.6825</v>
      </c>
      <c r="J18" s="75">
        <v>1</v>
      </c>
      <c r="K18" s="2"/>
      <c r="L18" s="2"/>
      <c r="M18" s="74">
        <f t="shared" si="0"/>
        <v>661434.6825</v>
      </c>
      <c r="N18" s="39">
        <f t="shared" si="1"/>
        <v>218269.6825</v>
      </c>
    </row>
    <row r="19" spans="1:14" x14ac:dyDescent="0.25">
      <c r="A19" s="56">
        <v>12</v>
      </c>
      <c r="B19" s="57" t="s">
        <v>83</v>
      </c>
      <c r="C19" s="54"/>
      <c r="D19" s="29"/>
      <c r="E19" s="39">
        <v>157882</v>
      </c>
      <c r="F19" s="2"/>
      <c r="G19" s="2"/>
      <c r="H19" s="74"/>
      <c r="I19" s="74">
        <f>E19</f>
        <v>157882</v>
      </c>
      <c r="J19" s="75">
        <f>J18</f>
        <v>1</v>
      </c>
      <c r="K19" s="2"/>
      <c r="L19" s="2"/>
      <c r="M19" s="74">
        <f t="shared" si="0"/>
        <v>157882</v>
      </c>
      <c r="N19" s="39">
        <f t="shared" si="1"/>
        <v>0</v>
      </c>
    </row>
    <row r="20" spans="1:14" x14ac:dyDescent="0.25">
      <c r="A20" s="56">
        <v>13</v>
      </c>
      <c r="B20" s="57" t="s">
        <v>82</v>
      </c>
      <c r="C20" s="54">
        <v>3238.1044864226687</v>
      </c>
      <c r="D20" s="29">
        <v>248998</v>
      </c>
      <c r="E20" s="39"/>
      <c r="F20" s="2"/>
      <c r="G20" s="2"/>
      <c r="H20" s="74">
        <v>0</v>
      </c>
      <c r="I20" s="74">
        <f>C20+D20</f>
        <v>252236.10448642267</v>
      </c>
      <c r="J20" s="75">
        <v>0</v>
      </c>
      <c r="K20" s="2"/>
      <c r="L20" s="77"/>
      <c r="M20" s="74">
        <f>3238+(248998/41*8)</f>
        <v>51822.975609756097</v>
      </c>
      <c r="N20" s="39">
        <f t="shared" si="1"/>
        <v>200413.12887666657</v>
      </c>
    </row>
    <row r="21" spans="1:14" x14ac:dyDescent="0.25">
      <c r="A21" s="56">
        <v>42</v>
      </c>
      <c r="B21" s="56" t="s">
        <v>81</v>
      </c>
      <c r="C21" s="54">
        <v>2466.3735711163226</v>
      </c>
      <c r="D21" s="29">
        <v>0</v>
      </c>
      <c r="E21" s="39"/>
      <c r="F21" s="2"/>
      <c r="G21" s="2"/>
      <c r="H21" s="74">
        <f>SUM(D21+G21)/2</f>
        <v>0</v>
      </c>
      <c r="I21" s="74">
        <f>C21+H21</f>
        <v>2466.3735711163226</v>
      </c>
      <c r="J21" s="75">
        <v>0.12</v>
      </c>
      <c r="K21" s="2"/>
      <c r="L21" s="2"/>
      <c r="M21" s="74">
        <f t="shared" ref="M21:M29" si="2">I21*J21</f>
        <v>295.96482853395872</v>
      </c>
      <c r="N21" s="39">
        <f t="shared" si="1"/>
        <v>2170.4087425823641</v>
      </c>
    </row>
    <row r="22" spans="1:14" x14ac:dyDescent="0.25">
      <c r="A22" s="3">
        <v>45</v>
      </c>
      <c r="B22" s="3" t="s">
        <v>80</v>
      </c>
      <c r="C22" s="54">
        <v>1068.6376355415232</v>
      </c>
      <c r="D22" s="78">
        <v>0</v>
      </c>
      <c r="E22" s="39"/>
      <c r="F22" s="2"/>
      <c r="G22" s="2"/>
      <c r="H22" s="74">
        <f>SUM(D22+G22)/2</f>
        <v>0</v>
      </c>
      <c r="I22" s="74">
        <f>C22+H22</f>
        <v>1068.6376355415232</v>
      </c>
      <c r="J22" s="75">
        <v>0.45</v>
      </c>
      <c r="K22" s="2"/>
      <c r="L22" s="2"/>
      <c r="M22" s="74">
        <f t="shared" si="2"/>
        <v>480.88693599368543</v>
      </c>
      <c r="N22" s="39">
        <f t="shared" si="1"/>
        <v>587.75069954783771</v>
      </c>
    </row>
    <row r="23" spans="1:14" ht="15.75" x14ac:dyDescent="0.25">
      <c r="A23" s="56">
        <v>47</v>
      </c>
      <c r="B23" s="56" t="s">
        <v>79</v>
      </c>
      <c r="C23" s="54">
        <v>112933526.92574459</v>
      </c>
      <c r="D23" s="29">
        <v>15730531.3497</v>
      </c>
      <c r="E23" s="39">
        <v>0</v>
      </c>
      <c r="F23" s="2">
        <v>0</v>
      </c>
      <c r="G23" s="2">
        <v>-90772</v>
      </c>
      <c r="H23" s="74">
        <f>SUM(D23+G23)/2</f>
        <v>7819879.6748500001</v>
      </c>
      <c r="I23" s="74">
        <f>C23+H23</f>
        <v>120753406.6005946</v>
      </c>
      <c r="J23" s="75">
        <v>0.08</v>
      </c>
      <c r="K23" s="2"/>
      <c r="L23" s="2"/>
      <c r="M23" s="74">
        <f t="shared" si="2"/>
        <v>9660272.5280475672</v>
      </c>
      <c r="N23" s="39">
        <f t="shared" si="1"/>
        <v>118913013.74739704</v>
      </c>
    </row>
    <row r="24" spans="1:14" x14ac:dyDescent="0.25">
      <c r="A24" s="56">
        <v>47</v>
      </c>
      <c r="B24" s="56" t="s">
        <v>78</v>
      </c>
      <c r="C24" s="54"/>
      <c r="D24" s="29"/>
      <c r="E24" s="39">
        <v>1425575</v>
      </c>
      <c r="F24" s="2"/>
      <c r="G24" s="2"/>
      <c r="H24" s="74"/>
      <c r="I24" s="74">
        <f>E24</f>
        <v>1425575</v>
      </c>
      <c r="J24" s="75">
        <f>J23*1.5</f>
        <v>0.12</v>
      </c>
      <c r="K24" s="2"/>
      <c r="L24" s="2"/>
      <c r="M24" s="74">
        <f t="shared" si="2"/>
        <v>171069</v>
      </c>
      <c r="N24" s="39">
        <f t="shared" si="1"/>
        <v>1254506</v>
      </c>
    </row>
    <row r="25" spans="1:14" x14ac:dyDescent="0.25">
      <c r="A25" s="3">
        <v>50</v>
      </c>
      <c r="B25" s="3" t="s">
        <v>77</v>
      </c>
      <c r="C25" s="54">
        <v>850263.90347685327</v>
      </c>
      <c r="D25" s="29">
        <v>201653</v>
      </c>
      <c r="E25" s="39">
        <v>0</v>
      </c>
      <c r="F25" s="2">
        <v>0</v>
      </c>
      <c r="G25" s="2"/>
      <c r="H25" s="74">
        <f>SUM(D25+G25)/2</f>
        <v>100826.5</v>
      </c>
      <c r="I25" s="74">
        <f>C25+H25+F25</f>
        <v>951090.40347685327</v>
      </c>
      <c r="J25" s="75">
        <v>0.55000000000000004</v>
      </c>
      <c r="K25" s="2"/>
      <c r="L25" s="2"/>
      <c r="M25" s="74">
        <f t="shared" si="2"/>
        <v>523099.72191226936</v>
      </c>
      <c r="N25" s="39">
        <f t="shared" si="1"/>
        <v>528817.18156458403</v>
      </c>
    </row>
    <row r="26" spans="1:14" x14ac:dyDescent="0.25">
      <c r="A26" s="58">
        <v>50</v>
      </c>
      <c r="B26" s="3" t="s">
        <v>76</v>
      </c>
      <c r="C26" s="54"/>
      <c r="D26" s="29"/>
      <c r="E26" s="39">
        <v>100186</v>
      </c>
      <c r="F26" s="5"/>
      <c r="G26" s="5"/>
      <c r="H26" s="39"/>
      <c r="I26" s="74">
        <f>E26</f>
        <v>100186</v>
      </c>
      <c r="J26" s="75">
        <f>J25*1.5</f>
        <v>0.82500000000000007</v>
      </c>
      <c r="K26" s="5"/>
      <c r="L26" s="5"/>
      <c r="M26" s="74">
        <f t="shared" si="2"/>
        <v>82653.450000000012</v>
      </c>
      <c r="N26" s="39">
        <f t="shared" si="1"/>
        <v>17532.549999999988</v>
      </c>
    </row>
    <row r="27" spans="1:14" x14ac:dyDescent="0.25">
      <c r="A27" s="59">
        <v>43.2</v>
      </c>
      <c r="B27" s="79" t="s">
        <v>75</v>
      </c>
      <c r="C27" s="54">
        <v>40793.152871337035</v>
      </c>
      <c r="D27" s="29">
        <v>0</v>
      </c>
      <c r="E27" s="39"/>
      <c r="F27" s="5"/>
      <c r="G27" s="5"/>
      <c r="H27" s="39">
        <f>SUM(D27+G27)/2</f>
        <v>0</v>
      </c>
      <c r="I27" s="74">
        <f>C27+H27</f>
        <v>40793.152871337035</v>
      </c>
      <c r="J27" s="75">
        <v>0.5</v>
      </c>
      <c r="K27" s="5"/>
      <c r="L27" s="5"/>
      <c r="M27" s="74">
        <f t="shared" si="2"/>
        <v>20396.576435668518</v>
      </c>
      <c r="N27" s="39">
        <f t="shared" si="1"/>
        <v>20396.576435668518</v>
      </c>
    </row>
    <row r="28" spans="1:14" x14ac:dyDescent="0.25">
      <c r="A28" s="59">
        <v>14.1</v>
      </c>
      <c r="B28" s="79" t="s">
        <v>74</v>
      </c>
      <c r="C28" s="54">
        <v>4145249.01</v>
      </c>
      <c r="E28" s="39"/>
      <c r="F28" s="5"/>
      <c r="G28" s="5"/>
      <c r="H28" s="39"/>
      <c r="I28" s="74">
        <f>C28</f>
        <v>4145249.01</v>
      </c>
      <c r="J28" s="75">
        <v>7.0000000000000007E-2</v>
      </c>
      <c r="K28" s="5"/>
      <c r="L28" s="5"/>
      <c r="M28" s="74">
        <f t="shared" si="2"/>
        <v>290167.43070000003</v>
      </c>
      <c r="N28" s="39">
        <f t="shared" si="1"/>
        <v>3855081.5792999999</v>
      </c>
    </row>
    <row r="29" spans="1:14" x14ac:dyDescent="0.25">
      <c r="A29" s="59">
        <v>14.1</v>
      </c>
      <c r="B29" s="80" t="s">
        <v>73</v>
      </c>
      <c r="C29" s="54">
        <v>8432.2000000000007</v>
      </c>
      <c r="D29" s="29">
        <v>1033371.9749999999</v>
      </c>
      <c r="E29" s="39"/>
      <c r="F29" s="5"/>
      <c r="G29" s="5"/>
      <c r="H29" s="39"/>
      <c r="I29" s="74">
        <f>C29+D29</f>
        <v>1041804.1749999998</v>
      </c>
      <c r="J29" s="75">
        <v>0.05</v>
      </c>
      <c r="K29" s="5"/>
      <c r="L29" s="5"/>
      <c r="M29" s="74">
        <f t="shared" si="2"/>
        <v>52090.208749999991</v>
      </c>
      <c r="N29" s="39">
        <f t="shared" si="1"/>
        <v>989713.96624999982</v>
      </c>
    </row>
    <row r="30" spans="1:14" ht="15.75" x14ac:dyDescent="0.25">
      <c r="A30" s="60">
        <v>95</v>
      </c>
      <c r="B30" s="60" t="s">
        <v>10</v>
      </c>
      <c r="C30" s="54">
        <v>11397824</v>
      </c>
      <c r="D30" s="29">
        <v>5974150</v>
      </c>
      <c r="E30" s="39"/>
      <c r="F30" s="2">
        <v>0</v>
      </c>
      <c r="G30" s="81"/>
      <c r="H30" s="39">
        <v>0</v>
      </c>
      <c r="I30" s="39">
        <f>C30+D30+F30</f>
        <v>17371974</v>
      </c>
      <c r="J30" s="75">
        <v>0</v>
      </c>
      <c r="K30" s="2"/>
      <c r="L30" s="2"/>
      <c r="M30" s="76">
        <f>I30*J30</f>
        <v>0</v>
      </c>
      <c r="N30" s="39">
        <f t="shared" si="1"/>
        <v>17371974</v>
      </c>
    </row>
    <row r="31" spans="1:14" ht="15.75" thickBot="1" x14ac:dyDescent="0.3">
      <c r="A31" s="61" t="s">
        <v>11</v>
      </c>
      <c r="B31" s="62"/>
      <c r="C31" s="63">
        <f t="shared" ref="C31:I31" si="3">SUM(C7:C30)</f>
        <v>229950070.69762731</v>
      </c>
      <c r="D31" s="64">
        <f t="shared" si="3"/>
        <v>25322008.449700002</v>
      </c>
      <c r="E31" s="64">
        <f t="shared" si="3"/>
        <v>2060317</v>
      </c>
      <c r="F31" s="23">
        <f t="shared" si="3"/>
        <v>0</v>
      </c>
      <c r="G31" s="27">
        <f t="shared" si="3"/>
        <v>-158914</v>
      </c>
      <c r="H31" s="63">
        <f t="shared" si="3"/>
        <v>8953287.2373500001</v>
      </c>
      <c r="I31" s="63">
        <f t="shared" si="3"/>
        <v>248220194.90997732</v>
      </c>
      <c r="J31" s="63" t="s">
        <v>0</v>
      </c>
      <c r="K31" s="63">
        <f>SUM(K7:K30)</f>
        <v>0</v>
      </c>
      <c r="L31" s="63">
        <f>SUM(L7:L30)</f>
        <v>0</v>
      </c>
      <c r="M31" s="63">
        <f>SUM(M7:M30)</f>
        <v>17574312.216971923</v>
      </c>
      <c r="N31" s="63">
        <f>SUM(N7:N30)</f>
        <v>239599169.93035537</v>
      </c>
    </row>
    <row r="32" spans="1:14" ht="15.75" thickTop="1" x14ac:dyDescent="0.25"/>
    <row r="33" spans="1:16" x14ac:dyDescent="0.25">
      <c r="A33" s="68" t="s">
        <v>97</v>
      </c>
      <c r="B33" s="68" t="s">
        <v>65</v>
      </c>
      <c r="D33" s="82"/>
      <c r="E33" s="82"/>
      <c r="O33" s="67"/>
      <c r="P33" s="43"/>
    </row>
    <row r="34" spans="1:16" ht="71.45" customHeight="1" x14ac:dyDescent="0.25">
      <c r="A34" s="53" t="s">
        <v>2</v>
      </c>
      <c r="B34" s="53" t="s">
        <v>3</v>
      </c>
      <c r="C34" s="53" t="s">
        <v>63</v>
      </c>
      <c r="D34" s="69" t="s">
        <v>60</v>
      </c>
      <c r="E34" s="69" t="s">
        <v>69</v>
      </c>
      <c r="F34" s="69" t="s">
        <v>4</v>
      </c>
      <c r="G34" s="69" t="s">
        <v>12</v>
      </c>
      <c r="H34" s="69" t="s">
        <v>5</v>
      </c>
      <c r="I34" s="69" t="s">
        <v>6</v>
      </c>
      <c r="J34" s="69" t="s">
        <v>57</v>
      </c>
      <c r="K34" s="69" t="s">
        <v>58</v>
      </c>
      <c r="L34" s="69" t="s">
        <v>7</v>
      </c>
      <c r="M34" s="69" t="s">
        <v>64</v>
      </c>
      <c r="N34" s="69" t="s">
        <v>8</v>
      </c>
      <c r="O34" s="83"/>
      <c r="P34" s="43"/>
    </row>
    <row r="35" spans="1:16" x14ac:dyDescent="0.25">
      <c r="A35" s="53"/>
      <c r="B35" s="53"/>
      <c r="C35" s="70"/>
      <c r="D35" s="28"/>
      <c r="E35" s="39"/>
      <c r="F35" s="1"/>
      <c r="G35" s="1"/>
      <c r="H35" s="1"/>
      <c r="I35" s="71"/>
      <c r="J35" s="72"/>
      <c r="K35" s="1"/>
      <c r="L35" s="1"/>
      <c r="M35" s="73"/>
      <c r="N35" s="73"/>
      <c r="O35" s="44"/>
      <c r="P35" s="43"/>
    </row>
    <row r="36" spans="1:16" x14ac:dyDescent="0.25">
      <c r="A36" s="3">
        <v>1</v>
      </c>
      <c r="B36" s="3" t="s">
        <v>94</v>
      </c>
      <c r="C36" s="54">
        <f>N7</f>
        <v>79946529.844767556</v>
      </c>
      <c r="D36" s="29">
        <v>0</v>
      </c>
      <c r="E36" s="39"/>
      <c r="F36" s="2"/>
      <c r="G36" s="2"/>
      <c r="H36" s="39">
        <f>SUM(D36+G36)/2</f>
        <v>0</v>
      </c>
      <c r="I36" s="74">
        <f>C36+H36</f>
        <v>79946529.844767556</v>
      </c>
      <c r="J36" s="84">
        <v>0.04</v>
      </c>
      <c r="K36" s="2"/>
      <c r="L36" s="2"/>
      <c r="M36" s="39">
        <f>I36*J36/365*90</f>
        <v>788513.71901688538</v>
      </c>
      <c r="N36" s="39">
        <f>H36+I36-M36</f>
        <v>79158016.125750676</v>
      </c>
      <c r="O36" s="67"/>
      <c r="P36" s="43"/>
    </row>
    <row r="37" spans="1:16" x14ac:dyDescent="0.25">
      <c r="A37" s="55" t="s">
        <v>92</v>
      </c>
      <c r="B37" s="3" t="s">
        <v>93</v>
      </c>
      <c r="C37" s="54">
        <f>N8+N9</f>
        <v>9601724.7482090704</v>
      </c>
      <c r="D37" s="29">
        <v>0</v>
      </c>
      <c r="E37" s="39">
        <v>0</v>
      </c>
      <c r="F37" s="2" t="s">
        <v>0</v>
      </c>
      <c r="G37" s="2"/>
      <c r="H37" s="74">
        <f>SUM(D37+G37)/2</f>
        <v>0</v>
      </c>
      <c r="I37" s="74">
        <f>C37+H37</f>
        <v>9601724.7482090704</v>
      </c>
      <c r="J37" s="75">
        <v>0.06</v>
      </c>
      <c r="K37" s="2"/>
      <c r="L37" s="2"/>
      <c r="M37" s="39">
        <f>I37*J37/365*90</f>
        <v>142052.91408309311</v>
      </c>
      <c r="N37" s="39">
        <f>H37+I37-M37</f>
        <v>9459671.834125977</v>
      </c>
      <c r="O37" s="67"/>
      <c r="P37" s="43"/>
    </row>
    <row r="38" spans="1:16" x14ac:dyDescent="0.25">
      <c r="A38" s="55" t="s">
        <v>92</v>
      </c>
      <c r="B38" s="3" t="s">
        <v>91</v>
      </c>
      <c r="C38" s="54">
        <v>0</v>
      </c>
      <c r="D38" s="29">
        <v>0</v>
      </c>
      <c r="E38" s="39">
        <v>0</v>
      </c>
      <c r="F38" s="2"/>
      <c r="G38" s="2"/>
      <c r="H38" s="74">
        <f>SUM(D38+G38)/2</f>
        <v>0</v>
      </c>
      <c r="I38" s="74">
        <f>C38+E38+G38</f>
        <v>0</v>
      </c>
      <c r="J38" s="75">
        <f>J37*1.5</f>
        <v>0.09</v>
      </c>
      <c r="K38" s="2"/>
      <c r="L38" s="2"/>
      <c r="M38" s="39">
        <f t="shared" ref="M38:M60" si="4">I38*J38/365*90</f>
        <v>0</v>
      </c>
      <c r="N38" s="39">
        <f>H38+I38-M38</f>
        <v>0</v>
      </c>
      <c r="O38" s="67"/>
      <c r="P38" s="43"/>
    </row>
    <row r="39" spans="1:16" x14ac:dyDescent="0.25">
      <c r="A39" s="56">
        <v>8</v>
      </c>
      <c r="B39" s="56" t="s">
        <v>90</v>
      </c>
      <c r="C39" s="54">
        <f>N10+N11</f>
        <v>4331733.8475264814</v>
      </c>
      <c r="D39" s="67">
        <v>0</v>
      </c>
      <c r="E39" s="29">
        <v>0</v>
      </c>
      <c r="F39" s="2"/>
      <c r="G39" s="2"/>
      <c r="H39" s="74">
        <f>SUM(E39+G39)/2</f>
        <v>0</v>
      </c>
      <c r="I39" s="74">
        <f>C39+H39</f>
        <v>4331733.8475264814</v>
      </c>
      <c r="J39" s="75">
        <v>0.2</v>
      </c>
      <c r="K39" s="2"/>
      <c r="L39" s="2"/>
      <c r="M39" s="39">
        <f t="shared" si="4"/>
        <v>213619.75138486759</v>
      </c>
      <c r="N39" s="39">
        <f t="shared" ref="N39:N58" si="5">H39+I39-M39</f>
        <v>4118114.096141614</v>
      </c>
      <c r="O39" s="67"/>
      <c r="P39" s="43"/>
    </row>
    <row r="40" spans="1:16" x14ac:dyDescent="0.25">
      <c r="A40" s="56">
        <v>8</v>
      </c>
      <c r="B40" s="56" t="s">
        <v>62</v>
      </c>
      <c r="C40" s="54">
        <v>0</v>
      </c>
      <c r="D40" s="29">
        <v>0</v>
      </c>
      <c r="E40" s="39">
        <v>18468</v>
      </c>
      <c r="F40" s="2"/>
      <c r="G40" s="2"/>
      <c r="H40" s="39"/>
      <c r="I40" s="74">
        <f>C40+E40+G40</f>
        <v>18468</v>
      </c>
      <c r="J40" s="75">
        <f>J39*1.5</f>
        <v>0.30000000000000004</v>
      </c>
      <c r="K40" s="2"/>
      <c r="L40" s="2"/>
      <c r="M40" s="39">
        <f>I40*J40/365*90</f>
        <v>1366.1260273972605</v>
      </c>
      <c r="N40" s="39">
        <f t="shared" si="5"/>
        <v>17101.873972602738</v>
      </c>
      <c r="O40" s="67"/>
      <c r="P40" s="43"/>
    </row>
    <row r="41" spans="1:16" x14ac:dyDescent="0.25">
      <c r="A41" s="3">
        <v>10</v>
      </c>
      <c r="B41" s="3" t="s">
        <v>9</v>
      </c>
      <c r="C41" s="54">
        <f>N12+N13</f>
        <v>2342275.1066425759</v>
      </c>
      <c r="D41" s="29">
        <v>0</v>
      </c>
      <c r="E41" s="39">
        <v>0</v>
      </c>
      <c r="F41" s="2"/>
      <c r="G41" s="2">
        <v>0</v>
      </c>
      <c r="H41" s="39">
        <f>SUM(D41+G41)/2</f>
        <v>0</v>
      </c>
      <c r="I41" s="74">
        <f>C41+H41+G41</f>
        <v>2342275.1066425759</v>
      </c>
      <c r="J41" s="75">
        <v>0.3</v>
      </c>
      <c r="K41" s="2"/>
      <c r="L41" s="2"/>
      <c r="M41" s="39">
        <f t="shared" si="4"/>
        <v>173264.18597082066</v>
      </c>
      <c r="N41" s="39">
        <f t="shared" si="5"/>
        <v>2169010.9206717554</v>
      </c>
      <c r="O41" s="67"/>
      <c r="P41" s="43"/>
    </row>
    <row r="42" spans="1:16" x14ac:dyDescent="0.25">
      <c r="A42" s="3">
        <v>10</v>
      </c>
      <c r="B42" s="3" t="s">
        <v>89</v>
      </c>
      <c r="C42" s="54">
        <v>0</v>
      </c>
      <c r="D42" s="29">
        <v>0</v>
      </c>
      <c r="E42" s="39">
        <v>121663</v>
      </c>
      <c r="F42" s="2"/>
      <c r="G42" s="2"/>
      <c r="H42" s="39"/>
      <c r="I42" s="74">
        <f>C42+E42+G42</f>
        <v>121663</v>
      </c>
      <c r="J42" s="75">
        <f>J41*1.5</f>
        <v>0.44999999999999996</v>
      </c>
      <c r="K42" s="2"/>
      <c r="L42" s="2"/>
      <c r="M42" s="39">
        <f t="shared" si="4"/>
        <v>13499.59315068493</v>
      </c>
      <c r="N42" s="39">
        <f t="shared" si="5"/>
        <v>108163.40684931507</v>
      </c>
      <c r="O42" s="67"/>
      <c r="P42" s="43"/>
    </row>
    <row r="43" spans="1:16" x14ac:dyDescent="0.25">
      <c r="A43" s="56">
        <v>10.1</v>
      </c>
      <c r="B43" s="3" t="s">
        <v>88</v>
      </c>
      <c r="C43" s="54">
        <f t="shared" ref="C43:C58" si="6">N14</f>
        <v>802.27006076700013</v>
      </c>
      <c r="D43" s="29">
        <v>0</v>
      </c>
      <c r="E43" s="39">
        <v>0</v>
      </c>
      <c r="F43" s="2"/>
      <c r="G43" s="2"/>
      <c r="H43" s="39">
        <f>SUM(D43+G43)/2</f>
        <v>0</v>
      </c>
      <c r="I43" s="74">
        <f>C43+H43</f>
        <v>802.27006076700013</v>
      </c>
      <c r="J43" s="75">
        <v>0.3</v>
      </c>
      <c r="K43" s="2"/>
      <c r="L43" s="2"/>
      <c r="M43" s="39">
        <f t="shared" si="4"/>
        <v>59.346004495093155</v>
      </c>
      <c r="N43" s="39">
        <f t="shared" si="5"/>
        <v>742.92405627190692</v>
      </c>
      <c r="O43" s="67"/>
      <c r="P43" s="43"/>
    </row>
    <row r="44" spans="1:16" x14ac:dyDescent="0.25">
      <c r="A44" s="56">
        <v>10.1</v>
      </c>
      <c r="B44" s="3" t="s">
        <v>87</v>
      </c>
      <c r="C44" s="54">
        <f t="shared" si="6"/>
        <v>803.72279061900031</v>
      </c>
      <c r="D44" s="29">
        <v>0</v>
      </c>
      <c r="E44" s="39">
        <v>0</v>
      </c>
      <c r="F44" s="2"/>
      <c r="G44" s="2"/>
      <c r="H44" s="39">
        <f>SUM(D44+G44)/2</f>
        <v>0</v>
      </c>
      <c r="I44" s="74">
        <f>C44+H44</f>
        <v>803.72279061900031</v>
      </c>
      <c r="J44" s="75">
        <v>0.3</v>
      </c>
      <c r="K44" s="2"/>
      <c r="L44" s="2"/>
      <c r="M44" s="39">
        <f t="shared" si="4"/>
        <v>59.453466703323308</v>
      </c>
      <c r="N44" s="39">
        <f t="shared" si="5"/>
        <v>744.26932391567698</v>
      </c>
      <c r="O44" s="67"/>
      <c r="P44" s="43"/>
    </row>
    <row r="45" spans="1:16" x14ac:dyDescent="0.25">
      <c r="A45" s="56">
        <v>10.1</v>
      </c>
      <c r="B45" s="3" t="s">
        <v>86</v>
      </c>
      <c r="C45" s="54">
        <f t="shared" si="6"/>
        <v>1162.7891857050001</v>
      </c>
      <c r="D45" s="29">
        <v>0</v>
      </c>
      <c r="E45" s="39">
        <v>0</v>
      </c>
      <c r="F45" s="2"/>
      <c r="G45" s="2"/>
      <c r="H45" s="39">
        <f>SUM(D45+G45)/2</f>
        <v>0</v>
      </c>
      <c r="I45" s="74">
        <f>C45+H45</f>
        <v>1162.7891857050001</v>
      </c>
      <c r="J45" s="75">
        <v>0.3</v>
      </c>
      <c r="K45" s="2"/>
      <c r="L45" s="2"/>
      <c r="M45" s="39">
        <f t="shared" si="4"/>
        <v>86.01454250420548</v>
      </c>
      <c r="N45" s="39">
        <f t="shared" si="5"/>
        <v>1076.7746432007946</v>
      </c>
      <c r="O45" s="67"/>
      <c r="P45" s="43"/>
    </row>
    <row r="46" spans="1:16" x14ac:dyDescent="0.25">
      <c r="A46" s="56">
        <v>10.1</v>
      </c>
      <c r="B46" s="3" t="s">
        <v>85</v>
      </c>
      <c r="C46" s="54">
        <f t="shared" si="6"/>
        <v>1661.0294065329999</v>
      </c>
      <c r="D46" s="29">
        <v>0</v>
      </c>
      <c r="E46" s="39">
        <v>0</v>
      </c>
      <c r="F46" s="2"/>
      <c r="G46" s="2"/>
      <c r="H46" s="39">
        <f>SUM(D46+G46)/2</f>
        <v>0</v>
      </c>
      <c r="I46" s="74">
        <f>C46+H46</f>
        <v>1661.0294065329999</v>
      </c>
      <c r="J46" s="75">
        <v>0.3</v>
      </c>
      <c r="K46" s="2"/>
      <c r="L46" s="2"/>
      <c r="M46" s="39">
        <f t="shared" si="4"/>
        <v>122.87066842846849</v>
      </c>
      <c r="N46" s="39">
        <f t="shared" si="5"/>
        <v>1538.1587381045315</v>
      </c>
      <c r="O46" s="67"/>
      <c r="P46" s="43"/>
    </row>
    <row r="47" spans="1:16" x14ac:dyDescent="0.25">
      <c r="A47" s="56">
        <v>12</v>
      </c>
      <c r="B47" s="57" t="s">
        <v>84</v>
      </c>
      <c r="C47" s="54">
        <f>N18</f>
        <v>218269.6825</v>
      </c>
      <c r="D47" s="67">
        <v>0</v>
      </c>
      <c r="E47" s="29">
        <v>0</v>
      </c>
      <c r="F47" s="2"/>
      <c r="G47" s="2"/>
      <c r="H47" s="74">
        <f>SUM(E47+G47)/2</f>
        <v>0</v>
      </c>
      <c r="I47" s="74">
        <f>C47+H47</f>
        <v>218269.6825</v>
      </c>
      <c r="J47" s="75">
        <v>1</v>
      </c>
      <c r="K47" s="2"/>
      <c r="L47" s="2"/>
      <c r="M47" s="39">
        <f t="shared" si="4"/>
        <v>53819.921712328767</v>
      </c>
      <c r="N47" s="39">
        <f t="shared" si="5"/>
        <v>164449.76078767123</v>
      </c>
      <c r="O47" s="67"/>
      <c r="P47" s="43"/>
    </row>
    <row r="48" spans="1:16" x14ac:dyDescent="0.25">
      <c r="A48" s="56">
        <v>12</v>
      </c>
      <c r="B48" s="57" t="s">
        <v>83</v>
      </c>
      <c r="C48" s="39">
        <f t="shared" si="6"/>
        <v>0</v>
      </c>
      <c r="D48" s="29">
        <v>0</v>
      </c>
      <c r="E48" s="39">
        <v>6276</v>
      </c>
      <c r="F48" s="2"/>
      <c r="G48" s="2"/>
      <c r="H48" s="74"/>
      <c r="I48" s="74">
        <f>C48+E48+G48</f>
        <v>6276</v>
      </c>
      <c r="J48" s="75">
        <f>J47</f>
        <v>1</v>
      </c>
      <c r="K48" s="2"/>
      <c r="L48" s="2"/>
      <c r="M48" s="39">
        <f t="shared" si="4"/>
        <v>1547.5068493150686</v>
      </c>
      <c r="N48" s="39">
        <f t="shared" si="5"/>
        <v>4728.4931506849316</v>
      </c>
      <c r="O48" s="67"/>
      <c r="P48" s="43"/>
    </row>
    <row r="49" spans="1:16" x14ac:dyDescent="0.25">
      <c r="A49" s="56">
        <v>13</v>
      </c>
      <c r="B49" s="57" t="s">
        <v>82</v>
      </c>
      <c r="C49" s="54">
        <f t="shared" si="6"/>
        <v>200413.12887666657</v>
      </c>
      <c r="D49" s="29">
        <v>0</v>
      </c>
      <c r="E49" s="39"/>
      <c r="F49" s="2"/>
      <c r="G49" s="2"/>
      <c r="H49" s="74">
        <v>0</v>
      </c>
      <c r="I49" s="74">
        <f>C49+D49</f>
        <v>200413.12887666657</v>
      </c>
      <c r="J49" s="75">
        <v>0</v>
      </c>
      <c r="K49" s="2"/>
      <c r="L49" s="77"/>
      <c r="M49" s="74">
        <v>12279</v>
      </c>
      <c r="N49" s="39">
        <f t="shared" si="5"/>
        <v>188134.12887666657</v>
      </c>
      <c r="O49" s="67"/>
      <c r="P49" s="43"/>
    </row>
    <row r="50" spans="1:16" x14ac:dyDescent="0.25">
      <c r="A50" s="56">
        <v>42</v>
      </c>
      <c r="B50" s="56" t="s">
        <v>81</v>
      </c>
      <c r="C50" s="54">
        <f t="shared" si="6"/>
        <v>2170.4087425823641</v>
      </c>
      <c r="D50" s="29">
        <v>0</v>
      </c>
      <c r="E50" s="39">
        <v>0</v>
      </c>
      <c r="F50" s="2"/>
      <c r="G50" s="2"/>
      <c r="H50" s="74">
        <f>SUM(D50+G50)/2</f>
        <v>0</v>
      </c>
      <c r="I50" s="74">
        <f>C50+H50</f>
        <v>2170.4087425823641</v>
      </c>
      <c r="J50" s="75">
        <v>0.12</v>
      </c>
      <c r="K50" s="2"/>
      <c r="L50" s="2"/>
      <c r="M50" s="39">
        <f t="shared" si="4"/>
        <v>64.220313479149397</v>
      </c>
      <c r="N50" s="39">
        <f t="shared" si="5"/>
        <v>2106.1884291032147</v>
      </c>
      <c r="O50" s="67"/>
      <c r="P50" s="43"/>
    </row>
    <row r="51" spans="1:16" x14ac:dyDescent="0.25">
      <c r="A51" s="3">
        <v>45</v>
      </c>
      <c r="B51" s="3" t="s">
        <v>80</v>
      </c>
      <c r="C51" s="54">
        <f t="shared" si="6"/>
        <v>587.75069954783771</v>
      </c>
      <c r="D51" s="78">
        <v>0</v>
      </c>
      <c r="E51" s="39">
        <v>0</v>
      </c>
      <c r="F51" s="2"/>
      <c r="G51" s="2"/>
      <c r="H51" s="74">
        <f>SUM(D51+G51)/2</f>
        <v>0</v>
      </c>
      <c r="I51" s="74">
        <f>C51+H51</f>
        <v>587.75069954783771</v>
      </c>
      <c r="J51" s="75">
        <v>0.45</v>
      </c>
      <c r="K51" s="2"/>
      <c r="L51" s="2"/>
      <c r="M51" s="39">
        <f t="shared" si="4"/>
        <v>65.216173511472419</v>
      </c>
      <c r="N51" s="39">
        <f t="shared" si="5"/>
        <v>522.53452603636526</v>
      </c>
      <c r="O51" s="67"/>
      <c r="P51" s="43"/>
    </row>
    <row r="52" spans="1:16" ht="15.75" x14ac:dyDescent="0.25">
      <c r="A52" s="56">
        <v>47</v>
      </c>
      <c r="B52" s="56" t="s">
        <v>79</v>
      </c>
      <c r="C52" s="54">
        <f>N23+N24</f>
        <v>120167519.74739704</v>
      </c>
      <c r="D52" s="67">
        <v>0</v>
      </c>
      <c r="E52" s="29">
        <v>0</v>
      </c>
      <c r="F52" s="2">
        <v>0</v>
      </c>
      <c r="G52" s="67">
        <v>-13420</v>
      </c>
      <c r="H52" s="74">
        <v>0</v>
      </c>
      <c r="I52" s="74">
        <f>C52+H52+G52</f>
        <v>120154099.74739704</v>
      </c>
      <c r="J52" s="75">
        <v>0.08</v>
      </c>
      <c r="K52" s="2"/>
      <c r="L52" s="2"/>
      <c r="M52" s="39">
        <f t="shared" si="4"/>
        <v>2370163.0635102978</v>
      </c>
      <c r="N52" s="39">
        <f t="shared" si="5"/>
        <v>117783936.68388674</v>
      </c>
      <c r="O52" s="67"/>
      <c r="P52" s="43"/>
    </row>
    <row r="53" spans="1:16" x14ac:dyDescent="0.25">
      <c r="A53" s="56">
        <v>47</v>
      </c>
      <c r="B53" s="56" t="s">
        <v>78</v>
      </c>
      <c r="C53" s="54">
        <v>0</v>
      </c>
      <c r="D53" s="29">
        <v>0</v>
      </c>
      <c r="E53" s="39">
        <v>2429246.8254000004</v>
      </c>
      <c r="F53" s="2"/>
      <c r="G53" s="2">
        <v>0</v>
      </c>
      <c r="H53" s="74">
        <v>0</v>
      </c>
      <c r="I53" s="74">
        <f>C53+E53+G53</f>
        <v>2429246.8254000004</v>
      </c>
      <c r="J53" s="75">
        <f>J52*1.5</f>
        <v>0.12</v>
      </c>
      <c r="K53" s="2"/>
      <c r="L53" s="2"/>
      <c r="M53" s="39">
        <f t="shared" si="4"/>
        <v>71879.084148821916</v>
      </c>
      <c r="N53" s="39">
        <f>H53+I53-M53</f>
        <v>2357367.7412511786</v>
      </c>
      <c r="O53" s="67"/>
      <c r="P53" s="43"/>
    </row>
    <row r="54" spans="1:16" x14ac:dyDescent="0.25">
      <c r="A54" s="3">
        <v>50</v>
      </c>
      <c r="B54" s="3" t="s">
        <v>77</v>
      </c>
      <c r="C54" s="54">
        <f>N25+N26</f>
        <v>546349.73156458396</v>
      </c>
      <c r="D54" s="29">
        <v>0</v>
      </c>
      <c r="E54" s="39">
        <v>0</v>
      </c>
      <c r="F54" s="2">
        <v>0</v>
      </c>
      <c r="G54" s="2">
        <v>-1360</v>
      </c>
      <c r="H54" s="2">
        <v>0</v>
      </c>
      <c r="I54" s="74">
        <f>C54+H54+G54</f>
        <v>544989.73156458396</v>
      </c>
      <c r="J54" s="75">
        <v>0.55000000000000004</v>
      </c>
      <c r="K54" s="2"/>
      <c r="L54" s="2"/>
      <c r="M54" s="39">
        <f t="shared" si="4"/>
        <v>73909.566335470983</v>
      </c>
      <c r="N54" s="39">
        <f t="shared" si="5"/>
        <v>471080.16522911296</v>
      </c>
      <c r="O54" s="67"/>
      <c r="P54" s="43"/>
    </row>
    <row r="55" spans="1:16" x14ac:dyDescent="0.25">
      <c r="A55" s="58">
        <v>50</v>
      </c>
      <c r="B55" s="3" t="s">
        <v>76</v>
      </c>
      <c r="C55" s="54">
        <v>0</v>
      </c>
      <c r="D55" s="29">
        <v>0</v>
      </c>
      <c r="E55" s="39">
        <v>0</v>
      </c>
      <c r="F55" s="5"/>
      <c r="G55" s="5">
        <v>0</v>
      </c>
      <c r="H55" s="39"/>
      <c r="I55" s="74">
        <f>C55+E55+G55</f>
        <v>0</v>
      </c>
      <c r="J55" s="75">
        <f>J54*1.5</f>
        <v>0.82500000000000007</v>
      </c>
      <c r="K55" s="5"/>
      <c r="L55" s="5"/>
      <c r="M55" s="39">
        <f>I55*J55/365*90</f>
        <v>0</v>
      </c>
      <c r="N55" s="39">
        <f t="shared" si="5"/>
        <v>0</v>
      </c>
      <c r="O55" s="67"/>
      <c r="P55" s="43"/>
    </row>
    <row r="56" spans="1:16" x14ac:dyDescent="0.25">
      <c r="A56" s="59">
        <v>43.2</v>
      </c>
      <c r="B56" s="79" t="s">
        <v>75</v>
      </c>
      <c r="C56" s="54">
        <f t="shared" si="6"/>
        <v>20396.576435668518</v>
      </c>
      <c r="D56" s="29">
        <v>0</v>
      </c>
      <c r="E56" s="39">
        <v>0</v>
      </c>
      <c r="F56" s="5"/>
      <c r="G56" s="5"/>
      <c r="H56" s="39">
        <f>SUM(D56+G56)/2</f>
        <v>0</v>
      </c>
      <c r="I56" s="74">
        <f>C56+H56</f>
        <v>20396.576435668518</v>
      </c>
      <c r="J56" s="75">
        <v>0.5</v>
      </c>
      <c r="K56" s="5"/>
      <c r="L56" s="5"/>
      <c r="M56" s="39">
        <f t="shared" si="4"/>
        <v>2514.6464098769407</v>
      </c>
      <c r="N56" s="39">
        <f t="shared" si="5"/>
        <v>17881.930025791578</v>
      </c>
      <c r="O56" s="67"/>
      <c r="P56" s="43"/>
    </row>
    <row r="57" spans="1:16" x14ac:dyDescent="0.25">
      <c r="A57" s="59">
        <v>14.1</v>
      </c>
      <c r="B57" s="79" t="s">
        <v>74</v>
      </c>
      <c r="C57" s="54">
        <f>N28</f>
        <v>3855081.5792999999</v>
      </c>
      <c r="D57" s="67">
        <v>0</v>
      </c>
      <c r="E57" s="39">
        <v>0</v>
      </c>
      <c r="F57" s="5"/>
      <c r="G57" s="5"/>
      <c r="H57" s="39"/>
      <c r="I57" s="74">
        <f>C57</f>
        <v>3855081.5792999999</v>
      </c>
      <c r="J57" s="75">
        <v>7.0000000000000007E-2</v>
      </c>
      <c r="K57" s="5"/>
      <c r="L57" s="5"/>
      <c r="M57" s="39">
        <f t="shared" si="4"/>
        <v>66539.764245452068</v>
      </c>
      <c r="N57" s="39">
        <f t="shared" si="5"/>
        <v>3788541.815054548</v>
      </c>
      <c r="O57" s="67"/>
      <c r="P57" s="43"/>
    </row>
    <row r="58" spans="1:16" x14ac:dyDescent="0.25">
      <c r="A58" s="59">
        <v>14.1</v>
      </c>
      <c r="B58" s="79" t="s">
        <v>73</v>
      </c>
      <c r="C58" s="54">
        <f t="shared" si="6"/>
        <v>989713.96624999982</v>
      </c>
      <c r="D58" s="29">
        <v>0</v>
      </c>
      <c r="E58" s="39">
        <v>0</v>
      </c>
      <c r="F58" s="5"/>
      <c r="G58" s="5"/>
      <c r="H58" s="39"/>
      <c r="I58" s="74">
        <f>C58+E58+G58</f>
        <v>989713.96624999982</v>
      </c>
      <c r="J58" s="75">
        <v>0.05</v>
      </c>
      <c r="K58" s="5"/>
      <c r="L58" s="5"/>
      <c r="M58" s="39">
        <f>I58*J58/365*90</f>
        <v>12201.953008561642</v>
      </c>
      <c r="N58" s="39">
        <f t="shared" si="5"/>
        <v>977512.0132414382</v>
      </c>
      <c r="O58" s="67"/>
      <c r="P58" s="43"/>
    </row>
    <row r="59" spans="1:16" x14ac:dyDescent="0.25">
      <c r="A59" s="59">
        <v>14.1</v>
      </c>
      <c r="B59" s="79" t="s">
        <v>96</v>
      </c>
      <c r="C59" s="65">
        <v>0</v>
      </c>
      <c r="D59" s="29"/>
      <c r="E59" s="39">
        <v>368265.51</v>
      </c>
      <c r="F59" s="5"/>
      <c r="G59" s="5"/>
      <c r="H59" s="39"/>
      <c r="I59" s="74">
        <f>C59+E59+G59</f>
        <v>368265.51</v>
      </c>
      <c r="J59" s="75">
        <f>J58*1.5</f>
        <v>7.5000000000000011E-2</v>
      </c>
      <c r="K59" s="5"/>
      <c r="L59" s="5"/>
      <c r="M59" s="39">
        <f t="shared" si="4"/>
        <v>6810.3895684931522</v>
      </c>
      <c r="N59" s="39">
        <f>H59+I59-M59</f>
        <v>361455.12043150683</v>
      </c>
      <c r="O59" s="67"/>
      <c r="P59" s="43"/>
    </row>
    <row r="60" spans="1:16" ht="15.75" x14ac:dyDescent="0.25">
      <c r="A60" s="60">
        <v>95</v>
      </c>
      <c r="B60" s="60" t="s">
        <v>10</v>
      </c>
      <c r="C60" s="54">
        <f>N30</f>
        <v>17371974</v>
      </c>
      <c r="D60" s="29">
        <v>0</v>
      </c>
      <c r="E60" s="39">
        <v>3626398</v>
      </c>
      <c r="F60" s="2">
        <v>-52317</v>
      </c>
      <c r="G60" s="81"/>
      <c r="H60" s="39">
        <v>0</v>
      </c>
      <c r="I60" s="39">
        <f>C60+D60+E60+F60</f>
        <v>20946055</v>
      </c>
      <c r="J60" s="75">
        <v>0</v>
      </c>
      <c r="K60" s="2"/>
      <c r="L60" s="2"/>
      <c r="M60" s="39">
        <f t="shared" si="4"/>
        <v>0</v>
      </c>
      <c r="N60" s="39">
        <f>H60+I60-M60</f>
        <v>20946055</v>
      </c>
      <c r="O60" s="44"/>
      <c r="P60" s="43"/>
    </row>
    <row r="61" spans="1:16" ht="15.75" thickBot="1" x14ac:dyDescent="0.3">
      <c r="A61" s="61" t="s">
        <v>11</v>
      </c>
      <c r="B61" s="62"/>
      <c r="C61" s="63">
        <f t="shared" ref="C61:I61" si="7">SUM(C36:C60)</f>
        <v>239599169.93035534</v>
      </c>
      <c r="D61" s="64">
        <f t="shared" si="7"/>
        <v>0</v>
      </c>
      <c r="E61" s="64">
        <f t="shared" si="7"/>
        <v>6570317.3354000002</v>
      </c>
      <c r="F61" s="23">
        <f t="shared" si="7"/>
        <v>-52317</v>
      </c>
      <c r="G61" s="27">
        <f t="shared" si="7"/>
        <v>-14780</v>
      </c>
      <c r="H61" s="63">
        <f t="shared" si="7"/>
        <v>0</v>
      </c>
      <c r="I61" s="63">
        <f t="shared" si="7"/>
        <v>246102390.26575533</v>
      </c>
      <c r="J61" s="63" t="s">
        <v>0</v>
      </c>
      <c r="K61" s="63">
        <f>SUM(K36:K60)</f>
        <v>0</v>
      </c>
      <c r="L61" s="63">
        <f>SUM(L36:L60)</f>
        <v>0</v>
      </c>
      <c r="M61" s="63">
        <f>SUM(M36:M60)</f>
        <v>4004438.3065914894</v>
      </c>
      <c r="N61" s="63">
        <f>SUM(N36:N60)</f>
        <v>242097951.9591639</v>
      </c>
      <c r="O61" s="67"/>
      <c r="P61" s="43"/>
    </row>
    <row r="62" spans="1:16" ht="15.75" thickTop="1" x14ac:dyDescent="0.25">
      <c r="O62" s="67"/>
      <c r="P62" s="43"/>
    </row>
    <row r="63" spans="1:16" x14ac:dyDescent="0.25">
      <c r="A63" s="52" t="s">
        <v>154</v>
      </c>
    </row>
    <row r="64" spans="1:16" x14ac:dyDescent="0.25">
      <c r="A64" s="68">
        <v>2019</v>
      </c>
      <c r="B64" s="68" t="s">
        <v>107</v>
      </c>
    </row>
    <row r="65" spans="1:17" ht="43.5" customHeight="1" x14ac:dyDescent="0.25">
      <c r="A65" s="53" t="s">
        <v>2</v>
      </c>
      <c r="B65" s="53" t="s">
        <v>3</v>
      </c>
      <c r="C65" s="53" t="s">
        <v>98</v>
      </c>
      <c r="D65" s="69" t="s">
        <v>0</v>
      </c>
      <c r="E65" s="69" t="s">
        <v>99</v>
      </c>
      <c r="F65" s="69" t="s">
        <v>4</v>
      </c>
      <c r="G65" s="69" t="s">
        <v>12</v>
      </c>
      <c r="H65" s="69" t="s">
        <v>5</v>
      </c>
      <c r="I65" s="69" t="s">
        <v>6</v>
      </c>
      <c r="J65" s="69" t="s">
        <v>57</v>
      </c>
      <c r="K65" s="69" t="s">
        <v>58</v>
      </c>
      <c r="L65" s="69" t="s">
        <v>7</v>
      </c>
      <c r="M65" s="69" t="s">
        <v>100</v>
      </c>
      <c r="N65" s="69" t="s">
        <v>8</v>
      </c>
      <c r="O65" s="85" t="s">
        <v>108</v>
      </c>
      <c r="P65" s="41" t="s">
        <v>11</v>
      </c>
      <c r="Q65" s="41" t="s">
        <v>109</v>
      </c>
    </row>
    <row r="66" spans="1:17" x14ac:dyDescent="0.25">
      <c r="A66" s="53"/>
      <c r="B66" s="53"/>
      <c r="C66" s="70"/>
      <c r="D66" s="28"/>
      <c r="E66" s="39"/>
      <c r="F66" s="1"/>
      <c r="G66" s="1"/>
      <c r="H66" s="1"/>
      <c r="I66" s="71"/>
      <c r="J66" s="72"/>
      <c r="K66" s="1"/>
      <c r="L66" s="1"/>
      <c r="M66" s="73"/>
      <c r="N66" s="73"/>
    </row>
    <row r="67" spans="1:17" x14ac:dyDescent="0.25">
      <c r="A67" s="3">
        <v>1</v>
      </c>
      <c r="B67" s="3" t="s">
        <v>94</v>
      </c>
      <c r="C67" s="54">
        <f>N36</f>
        <v>79158016.125750676</v>
      </c>
      <c r="D67" s="29">
        <v>0</v>
      </c>
      <c r="E67" s="39"/>
      <c r="F67" s="2"/>
      <c r="G67" s="2"/>
      <c r="H67" s="39">
        <f>SUM(D67+G67)/2</f>
        <v>0</v>
      </c>
      <c r="I67" s="74">
        <f>C67+H67</f>
        <v>79158016.125750676</v>
      </c>
      <c r="J67" s="84">
        <v>0.04</v>
      </c>
      <c r="K67" s="2"/>
      <c r="L67" s="2"/>
      <c r="M67" s="39">
        <f t="shared" ref="M67:M79" si="8">I67*J67/365*275</f>
        <v>2385584.0476253633</v>
      </c>
      <c r="N67" s="39">
        <f>H67+I67-M67</f>
        <v>76772432.078125313</v>
      </c>
    </row>
    <row r="68" spans="1:17" x14ac:dyDescent="0.25">
      <c r="A68" s="55" t="s">
        <v>92</v>
      </c>
      <c r="B68" s="3" t="s">
        <v>93</v>
      </c>
      <c r="C68" s="54">
        <f>N37</f>
        <v>9459671.834125977</v>
      </c>
      <c r="D68" s="29">
        <v>0</v>
      </c>
      <c r="E68" s="39"/>
      <c r="F68" s="2" t="s">
        <v>0</v>
      </c>
      <c r="G68" s="2"/>
      <c r="H68" s="74">
        <f>SUM(D68+G68)/2</f>
        <v>0</v>
      </c>
      <c r="I68" s="74">
        <f>C68+H68</f>
        <v>9459671.834125977</v>
      </c>
      <c r="J68" s="75">
        <v>0.06</v>
      </c>
      <c r="K68" s="2"/>
      <c r="L68" s="2"/>
      <c r="M68" s="39">
        <f t="shared" si="8"/>
        <v>427629.00072076335</v>
      </c>
      <c r="N68" s="39">
        <f>H68+I68-M68</f>
        <v>9032042.8334052134</v>
      </c>
    </row>
    <row r="69" spans="1:17" x14ac:dyDescent="0.25">
      <c r="A69" s="55" t="s">
        <v>92</v>
      </c>
      <c r="B69" s="3" t="s">
        <v>91</v>
      </c>
      <c r="C69" s="54">
        <f>N38</f>
        <v>0</v>
      </c>
      <c r="D69" s="29">
        <v>0</v>
      </c>
      <c r="E69" s="39">
        <f>Q69-O69</f>
        <v>538153.99000000022</v>
      </c>
      <c r="F69" s="2"/>
      <c r="G69" s="2"/>
      <c r="H69" s="74">
        <f>SUM(D69+G69)/2</f>
        <v>0</v>
      </c>
      <c r="I69" s="74">
        <f>C69+E69+G69</f>
        <v>538153.99000000022</v>
      </c>
      <c r="J69" s="75">
        <f>J68*1.5</f>
        <v>0.09</v>
      </c>
      <c r="K69" s="2"/>
      <c r="L69" s="2"/>
      <c r="M69" s="39">
        <f t="shared" si="8"/>
        <v>36491.263705479461</v>
      </c>
      <c r="N69" s="39">
        <f>H69+I69-M69</f>
        <v>501662.72629452078</v>
      </c>
      <c r="O69" s="42">
        <v>197199.21</v>
      </c>
      <c r="P69" s="25">
        <f>E69+O69</f>
        <v>735353.20000000019</v>
      </c>
      <c r="Q69" s="25">
        <v>735353.20000000019</v>
      </c>
    </row>
    <row r="70" spans="1:17" x14ac:dyDescent="0.25">
      <c r="A70" s="56">
        <v>8</v>
      </c>
      <c r="B70" s="56" t="s">
        <v>90</v>
      </c>
      <c r="C70" s="54">
        <f>N39+N40</f>
        <v>4135215.9701142167</v>
      </c>
      <c r="D70" s="67">
        <v>0</v>
      </c>
      <c r="E70" s="29"/>
      <c r="F70" s="2"/>
      <c r="G70" s="2"/>
      <c r="H70" s="74">
        <f>SUM(E70+G70)/2</f>
        <v>0</v>
      </c>
      <c r="I70" s="74">
        <f>C70+H70</f>
        <v>4135215.9701142167</v>
      </c>
      <c r="J70" s="75">
        <v>0.2</v>
      </c>
      <c r="K70" s="2"/>
      <c r="L70" s="2"/>
      <c r="M70" s="39">
        <f t="shared" si="8"/>
        <v>623114.73522269027</v>
      </c>
      <c r="N70" s="39">
        <f t="shared" ref="N70:N82" si="9">H70+I70-M70</f>
        <v>3512101.2348915264</v>
      </c>
    </row>
    <row r="71" spans="1:17" x14ac:dyDescent="0.25">
      <c r="A71" s="56">
        <v>8</v>
      </c>
      <c r="B71" s="56" t="s">
        <v>62</v>
      </c>
      <c r="C71" s="54">
        <v>0</v>
      </c>
      <c r="D71" s="29">
        <v>0</v>
      </c>
      <c r="E71" s="39">
        <f>Q71-O71</f>
        <v>840187.12999999896</v>
      </c>
      <c r="F71" s="2"/>
      <c r="G71" s="2"/>
      <c r="H71" s="39"/>
      <c r="I71" s="74">
        <f>C71+E71+G71</f>
        <v>840187.12999999896</v>
      </c>
      <c r="J71" s="75">
        <f>J70*1.5</f>
        <v>0.30000000000000004</v>
      </c>
      <c r="K71" s="2"/>
      <c r="L71" s="2"/>
      <c r="M71" s="39">
        <f t="shared" si="8"/>
        <v>189905.31020547927</v>
      </c>
      <c r="N71" s="39">
        <f t="shared" si="9"/>
        <v>650281.81979451969</v>
      </c>
      <c r="O71" s="42">
        <v>164902.79</v>
      </c>
      <c r="P71" s="25">
        <f>E71+O71</f>
        <v>1005089.919999999</v>
      </c>
      <c r="Q71" s="25">
        <v>1005089.919999999</v>
      </c>
    </row>
    <row r="72" spans="1:17" x14ac:dyDescent="0.25">
      <c r="A72" s="3">
        <v>10</v>
      </c>
      <c r="B72" s="3" t="s">
        <v>9</v>
      </c>
      <c r="C72" s="54">
        <f>N41+N42</f>
        <v>2277174.3275210704</v>
      </c>
      <c r="D72" s="29">
        <v>0</v>
      </c>
      <c r="E72" s="39"/>
      <c r="F72" s="2"/>
      <c r="G72" s="2">
        <v>0</v>
      </c>
      <c r="H72" s="39">
        <v>-99066</v>
      </c>
      <c r="I72" s="74">
        <f>C72+H72+G72</f>
        <v>2178108.3275210704</v>
      </c>
      <c r="J72" s="75">
        <v>0.3</v>
      </c>
      <c r="K72" s="2"/>
      <c r="L72" s="2"/>
      <c r="M72" s="39">
        <f>I72*J72/365*275</f>
        <v>492312.15622051584</v>
      </c>
      <c r="N72" s="39">
        <f>I72-M72</f>
        <v>1685796.1713005546</v>
      </c>
    </row>
    <row r="73" spans="1:17" x14ac:dyDescent="0.25">
      <c r="A73" s="3">
        <v>10</v>
      </c>
      <c r="B73" s="3" t="s">
        <v>89</v>
      </c>
      <c r="C73" s="54">
        <v>0</v>
      </c>
      <c r="D73" s="29">
        <v>0</v>
      </c>
      <c r="E73" s="39">
        <v>1537077.61</v>
      </c>
      <c r="F73" s="2"/>
      <c r="G73" s="2"/>
      <c r="H73" s="39"/>
      <c r="I73" s="74">
        <f>C73+E73+G73</f>
        <v>1537077.61</v>
      </c>
      <c r="J73" s="75">
        <f>J72*1.5</f>
        <v>0.44999999999999996</v>
      </c>
      <c r="K73" s="2"/>
      <c r="L73" s="2"/>
      <c r="M73" s="39">
        <f t="shared" si="8"/>
        <v>521132.47736301366</v>
      </c>
      <c r="N73" s="39">
        <f t="shared" si="9"/>
        <v>1015945.1326369864</v>
      </c>
      <c r="O73" s="42">
        <v>0</v>
      </c>
      <c r="P73" s="25">
        <f>E73+O73</f>
        <v>1537077.61</v>
      </c>
      <c r="Q73" s="25">
        <v>1537077.6100000003</v>
      </c>
    </row>
    <row r="74" spans="1:17" x14ac:dyDescent="0.25">
      <c r="A74" s="56">
        <v>10.1</v>
      </c>
      <c r="B74" s="3" t="s">
        <v>88</v>
      </c>
      <c r="C74" s="54">
        <f t="shared" ref="C74:C88" si="10">N43</f>
        <v>742.92405627190692</v>
      </c>
      <c r="D74" s="29">
        <v>0</v>
      </c>
      <c r="E74" s="39"/>
      <c r="F74" s="2"/>
      <c r="G74" s="2"/>
      <c r="H74" s="39">
        <f>SUM(D74+G74)/2</f>
        <v>0</v>
      </c>
      <c r="I74" s="74">
        <f>C74+H74</f>
        <v>742.92405627190692</v>
      </c>
      <c r="J74" s="75">
        <v>0.3</v>
      </c>
      <c r="K74" s="2"/>
      <c r="L74" s="2"/>
      <c r="M74" s="39">
        <f t="shared" si="8"/>
        <v>167.92119080118445</v>
      </c>
      <c r="N74" s="39">
        <f t="shared" si="9"/>
        <v>575.00286547072244</v>
      </c>
    </row>
    <row r="75" spans="1:17" x14ac:dyDescent="0.25">
      <c r="A75" s="56">
        <v>10.1</v>
      </c>
      <c r="B75" s="3" t="s">
        <v>87</v>
      </c>
      <c r="C75" s="54">
        <f t="shared" si="10"/>
        <v>744.26932391567698</v>
      </c>
      <c r="D75" s="29">
        <v>0</v>
      </c>
      <c r="E75" s="39"/>
      <c r="F75" s="2"/>
      <c r="G75" s="2"/>
      <c r="H75" s="39">
        <f>SUM(D75+G75)/2</f>
        <v>0</v>
      </c>
      <c r="I75" s="74">
        <f>C75+H75</f>
        <v>744.26932391567698</v>
      </c>
      <c r="J75" s="75">
        <v>0.3</v>
      </c>
      <c r="K75" s="2"/>
      <c r="L75" s="2"/>
      <c r="M75" s="39">
        <f t="shared" si="8"/>
        <v>168.22525814532423</v>
      </c>
      <c r="N75" s="39">
        <f t="shared" si="9"/>
        <v>576.04406577035274</v>
      </c>
    </row>
    <row r="76" spans="1:17" x14ac:dyDescent="0.25">
      <c r="A76" s="56">
        <v>10.1</v>
      </c>
      <c r="B76" s="3" t="s">
        <v>86</v>
      </c>
      <c r="C76" s="54">
        <f t="shared" si="10"/>
        <v>1076.7746432007946</v>
      </c>
      <c r="D76" s="29">
        <v>0</v>
      </c>
      <c r="E76" s="39"/>
      <c r="F76" s="2"/>
      <c r="G76" s="2"/>
      <c r="H76" s="39">
        <f>SUM(D76+G76)/2</f>
        <v>0</v>
      </c>
      <c r="I76" s="74">
        <f>C76+H76</f>
        <v>1076.7746432007946</v>
      </c>
      <c r="J76" s="75">
        <v>0.3</v>
      </c>
      <c r="K76" s="2"/>
      <c r="L76" s="2"/>
      <c r="M76" s="39">
        <f t="shared" si="8"/>
        <v>243.38057003853578</v>
      </c>
      <c r="N76" s="39">
        <f t="shared" si="9"/>
        <v>833.39407316225879</v>
      </c>
    </row>
    <row r="77" spans="1:17" x14ac:dyDescent="0.25">
      <c r="A77" s="56">
        <v>10.1</v>
      </c>
      <c r="B77" s="3" t="s">
        <v>85</v>
      </c>
      <c r="C77" s="54">
        <f t="shared" si="10"/>
        <v>1538.1587381045315</v>
      </c>
      <c r="D77" s="29">
        <v>0</v>
      </c>
      <c r="E77" s="39"/>
      <c r="F77" s="2"/>
      <c r="G77" s="2"/>
      <c r="H77" s="39">
        <f>SUM(D77+G77)/2</f>
        <v>0</v>
      </c>
      <c r="I77" s="74">
        <f>C77+H77</f>
        <v>1538.1587381045315</v>
      </c>
      <c r="J77" s="75">
        <v>0.3</v>
      </c>
      <c r="K77" s="2"/>
      <c r="L77" s="2"/>
      <c r="M77" s="39">
        <f t="shared" si="8"/>
        <v>347.66601614691461</v>
      </c>
      <c r="N77" s="39">
        <f t="shared" si="9"/>
        <v>1190.4927219576168</v>
      </c>
    </row>
    <row r="78" spans="1:17" x14ac:dyDescent="0.25">
      <c r="A78" s="56">
        <v>12</v>
      </c>
      <c r="B78" s="57" t="s">
        <v>84</v>
      </c>
      <c r="C78" s="54">
        <f>N47+N48</f>
        <v>169178.25393835615</v>
      </c>
      <c r="D78" s="67">
        <v>0</v>
      </c>
      <c r="E78" s="29"/>
      <c r="F78" s="2"/>
      <c r="G78" s="2"/>
      <c r="H78" s="74">
        <f>SUM(E78+G78)/2</f>
        <v>0</v>
      </c>
      <c r="I78" s="74">
        <f>C78+H78</f>
        <v>169178.25393835615</v>
      </c>
      <c r="J78" s="75">
        <v>1</v>
      </c>
      <c r="K78" s="2"/>
      <c r="L78" s="2"/>
      <c r="M78" s="39">
        <f t="shared" si="8"/>
        <v>127463.06803574778</v>
      </c>
      <c r="N78" s="39">
        <f t="shared" si="9"/>
        <v>41715.185902608369</v>
      </c>
    </row>
    <row r="79" spans="1:17" x14ac:dyDescent="0.25">
      <c r="A79" s="56">
        <v>12</v>
      </c>
      <c r="B79" s="57" t="s">
        <v>83</v>
      </c>
      <c r="C79" s="54">
        <v>0</v>
      </c>
      <c r="D79" s="29">
        <v>0</v>
      </c>
      <c r="E79" s="39">
        <f>Q79-O79</f>
        <v>970633.88499999885</v>
      </c>
      <c r="F79" s="2"/>
      <c r="G79" s="2"/>
      <c r="H79" s="74"/>
      <c r="I79" s="74">
        <f>C79+E79+G79</f>
        <v>970633.88499999885</v>
      </c>
      <c r="J79" s="75">
        <f>J78</f>
        <v>1</v>
      </c>
      <c r="K79" s="2"/>
      <c r="L79" s="2"/>
      <c r="M79" s="39">
        <f t="shared" si="8"/>
        <v>731299.50239725935</v>
      </c>
      <c r="N79" s="39">
        <f t="shared" si="9"/>
        <v>239334.3826027395</v>
      </c>
      <c r="O79" s="42">
        <v>22579</v>
      </c>
      <c r="P79" s="25">
        <f>E79+O79</f>
        <v>993212.88499999885</v>
      </c>
      <c r="Q79" s="25">
        <v>993212.88499999885</v>
      </c>
    </row>
    <row r="80" spans="1:17" x14ac:dyDescent="0.25">
      <c r="A80" s="56">
        <v>13</v>
      </c>
      <c r="B80" s="57" t="s">
        <v>82</v>
      </c>
      <c r="C80" s="54">
        <f t="shared" si="10"/>
        <v>188134.12887666657</v>
      </c>
      <c r="D80" s="29">
        <v>0</v>
      </c>
      <c r="E80" s="39"/>
      <c r="F80" s="2"/>
      <c r="G80" s="2"/>
      <c r="H80" s="74">
        <v>0</v>
      </c>
      <c r="I80" s="74">
        <f>C80+D80</f>
        <v>188134.12887666657</v>
      </c>
      <c r="J80" s="75">
        <v>0</v>
      </c>
      <c r="K80" s="2"/>
      <c r="L80" s="77"/>
      <c r="M80" s="74">
        <f>I80/30*9</f>
        <v>56440.238662999967</v>
      </c>
      <c r="N80" s="39">
        <f t="shared" si="9"/>
        <v>131693.8902136666</v>
      </c>
    </row>
    <row r="81" spans="1:18" x14ac:dyDescent="0.25">
      <c r="A81" s="56">
        <v>42</v>
      </c>
      <c r="B81" s="56" t="s">
        <v>81</v>
      </c>
      <c r="C81" s="54">
        <f t="shared" si="10"/>
        <v>2106.1884291032147</v>
      </c>
      <c r="D81" s="29">
        <v>0</v>
      </c>
      <c r="E81" s="39"/>
      <c r="F81" s="2"/>
      <c r="G81" s="2"/>
      <c r="H81" s="74">
        <f>SUM(D81+G81)/2</f>
        <v>0</v>
      </c>
      <c r="I81" s="74">
        <f>C81+H81</f>
        <v>2106.1884291032147</v>
      </c>
      <c r="J81" s="75">
        <v>0.12</v>
      </c>
      <c r="K81" s="2"/>
      <c r="L81" s="2"/>
      <c r="M81" s="39">
        <f t="shared" ref="M81:M91" si="11">I81*J81/365*275</f>
        <v>190.42251550796186</v>
      </c>
      <c r="N81" s="39">
        <f t="shared" si="9"/>
        <v>1915.7659135952529</v>
      </c>
    </row>
    <row r="82" spans="1:18" x14ac:dyDescent="0.25">
      <c r="A82" s="3">
        <v>45</v>
      </c>
      <c r="B82" s="3" t="s">
        <v>80</v>
      </c>
      <c r="C82" s="54">
        <f t="shared" si="10"/>
        <v>522.53452603636526</v>
      </c>
      <c r="D82" s="78">
        <v>0</v>
      </c>
      <c r="E82" s="39"/>
      <c r="F82" s="2"/>
      <c r="G82" s="2"/>
      <c r="H82" s="74">
        <f>SUM(D82+G82)/2</f>
        <v>0</v>
      </c>
      <c r="I82" s="74">
        <f>C82+H82</f>
        <v>522.53452603636526</v>
      </c>
      <c r="J82" s="75">
        <v>0.45</v>
      </c>
      <c r="K82" s="2"/>
      <c r="L82" s="2"/>
      <c r="M82" s="39">
        <f t="shared" si="11"/>
        <v>177.16067834794575</v>
      </c>
      <c r="N82" s="39">
        <f t="shared" si="9"/>
        <v>345.37384768841952</v>
      </c>
    </row>
    <row r="83" spans="1:18" ht="15.75" x14ac:dyDescent="0.25">
      <c r="A83" s="56">
        <v>47</v>
      </c>
      <c r="B83" s="56" t="s">
        <v>79</v>
      </c>
      <c r="C83" s="54">
        <f>N52+N53</f>
        <v>120141304.42513792</v>
      </c>
      <c r="D83" s="67">
        <v>0</v>
      </c>
      <c r="E83" s="29"/>
      <c r="F83" s="2">
        <v>0</v>
      </c>
      <c r="G83" s="67">
        <v>0</v>
      </c>
      <c r="H83" s="39">
        <v>-115340</v>
      </c>
      <c r="I83" s="39">
        <f>C83+H83+G83</f>
        <v>120025964.42513792</v>
      </c>
      <c r="J83" s="75">
        <v>0.08</v>
      </c>
      <c r="K83" s="2"/>
      <c r="L83" s="2"/>
      <c r="M83" s="39">
        <f>I83*J83/365*275</f>
        <v>7234441.6913781753</v>
      </c>
      <c r="N83" s="39">
        <f>I83-M83</f>
        <v>112791522.73375975</v>
      </c>
    </row>
    <row r="84" spans="1:18" x14ac:dyDescent="0.25">
      <c r="A84" s="56">
        <v>47</v>
      </c>
      <c r="B84" s="56" t="s">
        <v>78</v>
      </c>
      <c r="C84" s="54">
        <v>0</v>
      </c>
      <c r="D84" s="29">
        <v>0</v>
      </c>
      <c r="E84" s="39">
        <f>Q84-O84</f>
        <v>19012240.887526527</v>
      </c>
      <c r="F84" s="2"/>
      <c r="G84" s="2">
        <v>0</v>
      </c>
      <c r="H84" s="74">
        <v>0</v>
      </c>
      <c r="I84" s="74">
        <f>C84+E84+G84</f>
        <v>19012240.887526527</v>
      </c>
      <c r="J84" s="75">
        <f>J83*1.5</f>
        <v>0.12</v>
      </c>
      <c r="K84" s="2"/>
      <c r="L84" s="2"/>
      <c r="M84" s="39">
        <f t="shared" si="11"/>
        <v>1718914.9295571931</v>
      </c>
      <c r="N84" s="39">
        <f t="shared" ref="N84:N91" si="12">H84+I84-M84</f>
        <v>17293325.957969334</v>
      </c>
      <c r="O84" s="42">
        <v>9973004.6900000032</v>
      </c>
      <c r="P84" s="25">
        <f>E84+O84</f>
        <v>28985245.577526532</v>
      </c>
      <c r="Q84" s="25">
        <v>28985245.577526532</v>
      </c>
    </row>
    <row r="85" spans="1:18" x14ac:dyDescent="0.25">
      <c r="A85" s="3">
        <v>50</v>
      </c>
      <c r="B85" s="3" t="s">
        <v>77</v>
      </c>
      <c r="C85" s="54">
        <f>N54+N55</f>
        <v>471080.16522911296</v>
      </c>
      <c r="D85" s="29">
        <v>0</v>
      </c>
      <c r="E85" s="39"/>
      <c r="F85" s="2">
        <v>0</v>
      </c>
      <c r="G85" s="2">
        <v>0</v>
      </c>
      <c r="H85" s="2">
        <v>0</v>
      </c>
      <c r="I85" s="74">
        <f>C85+H85+G85</f>
        <v>471080.16522911296</v>
      </c>
      <c r="J85" s="75">
        <v>0.55000000000000004</v>
      </c>
      <c r="K85" s="2"/>
      <c r="L85" s="2"/>
      <c r="M85" s="39">
        <f t="shared" si="11"/>
        <v>195207.87668740639</v>
      </c>
      <c r="N85" s="39">
        <f t="shared" si="12"/>
        <v>275872.28854170657</v>
      </c>
    </row>
    <row r="86" spans="1:18" x14ac:dyDescent="0.25">
      <c r="A86" s="58">
        <v>50</v>
      </c>
      <c r="B86" s="3" t="s">
        <v>76</v>
      </c>
      <c r="C86" s="54">
        <v>0</v>
      </c>
      <c r="D86" s="29">
        <v>0</v>
      </c>
      <c r="E86" s="39">
        <f>Q86-O86</f>
        <v>575539.73</v>
      </c>
      <c r="F86" s="5"/>
      <c r="G86" s="5">
        <v>0</v>
      </c>
      <c r="H86" s="39"/>
      <c r="I86" s="74">
        <f>C86+E86+G86</f>
        <v>575539.73</v>
      </c>
      <c r="J86" s="75">
        <f>J85*1.5</f>
        <v>0.82500000000000007</v>
      </c>
      <c r="K86" s="5"/>
      <c r="L86" s="5"/>
      <c r="M86" s="39">
        <f t="shared" si="11"/>
        <v>357741.30477739731</v>
      </c>
      <c r="N86" s="39">
        <f t="shared" si="12"/>
        <v>217798.42522260267</v>
      </c>
      <c r="O86" s="42">
        <v>9292.84</v>
      </c>
      <c r="P86" s="25">
        <f>E86+O86</f>
        <v>584832.56999999995</v>
      </c>
      <c r="Q86" s="25">
        <v>584832.56999999995</v>
      </c>
    </row>
    <row r="87" spans="1:18" x14ac:dyDescent="0.25">
      <c r="A87" s="59">
        <v>43.2</v>
      </c>
      <c r="B87" s="79" t="s">
        <v>75</v>
      </c>
      <c r="C87" s="54">
        <f>N56</f>
        <v>17881.930025791578</v>
      </c>
      <c r="D87" s="29">
        <v>0</v>
      </c>
      <c r="E87" s="39"/>
      <c r="F87" s="5"/>
      <c r="G87" s="5"/>
      <c r="H87" s="39">
        <f>SUM(D87+G87)/2</f>
        <v>0</v>
      </c>
      <c r="I87" s="74">
        <f>C87+H87</f>
        <v>17881.930025791578</v>
      </c>
      <c r="J87" s="75">
        <v>0.5</v>
      </c>
      <c r="K87" s="5"/>
      <c r="L87" s="5"/>
      <c r="M87" s="39">
        <f t="shared" si="11"/>
        <v>6736.34350286669</v>
      </c>
      <c r="N87" s="39">
        <f t="shared" si="12"/>
        <v>11145.586522924888</v>
      </c>
    </row>
    <row r="88" spans="1:18" x14ac:dyDescent="0.25">
      <c r="A88" s="59">
        <v>14.1</v>
      </c>
      <c r="B88" s="79" t="s">
        <v>74</v>
      </c>
      <c r="C88" s="54">
        <f t="shared" si="10"/>
        <v>3788541.815054548</v>
      </c>
      <c r="D88" s="67">
        <v>0</v>
      </c>
      <c r="E88" s="39"/>
      <c r="F88" s="5"/>
      <c r="G88" s="5"/>
      <c r="H88" s="39"/>
      <c r="I88" s="74">
        <f>C88</f>
        <v>3788541.815054548</v>
      </c>
      <c r="J88" s="75">
        <v>7.0000000000000007E-2</v>
      </c>
      <c r="K88" s="5"/>
      <c r="L88" s="5"/>
      <c r="M88" s="39">
        <f t="shared" si="11"/>
        <v>199806.65736931522</v>
      </c>
      <c r="N88" s="39">
        <f t="shared" si="12"/>
        <v>3588735.1576852328</v>
      </c>
    </row>
    <row r="89" spans="1:18" x14ac:dyDescent="0.25">
      <c r="A89" s="59">
        <v>14.1</v>
      </c>
      <c r="B89" s="79" t="s">
        <v>73</v>
      </c>
      <c r="C89" s="54">
        <f>N58+N59</f>
        <v>1338967.133672945</v>
      </c>
      <c r="D89" s="29">
        <v>0</v>
      </c>
      <c r="E89" s="39"/>
      <c r="F89" s="5"/>
      <c r="G89" s="5"/>
      <c r="H89" s="39"/>
      <c r="I89" s="74">
        <f>C89+E89+G89</f>
        <v>1338967.133672945</v>
      </c>
      <c r="J89" s="75">
        <v>0.05</v>
      </c>
      <c r="K89" s="5"/>
      <c r="L89" s="5"/>
      <c r="M89" s="39">
        <f t="shared" si="11"/>
        <v>50440.542706857515</v>
      </c>
      <c r="N89" s="39">
        <f t="shared" si="12"/>
        <v>1288526.5909660875</v>
      </c>
    </row>
    <row r="90" spans="1:18" x14ac:dyDescent="0.25">
      <c r="A90" s="59">
        <v>14.1</v>
      </c>
      <c r="B90" s="79" t="s">
        <v>96</v>
      </c>
      <c r="C90" s="54">
        <v>0</v>
      </c>
      <c r="D90" s="29"/>
      <c r="E90" s="39">
        <f>Q90-O90</f>
        <v>5245.3500000000931</v>
      </c>
      <c r="F90" s="5"/>
      <c r="G90" s="5"/>
      <c r="H90" s="39"/>
      <c r="I90" s="74">
        <f>C90+E90+G90</f>
        <v>5245.3500000000931</v>
      </c>
      <c r="J90" s="75">
        <f>J89*1.5</f>
        <v>7.5000000000000011E-2</v>
      </c>
      <c r="K90" s="5"/>
      <c r="L90" s="5"/>
      <c r="M90" s="39">
        <f t="shared" si="11"/>
        <v>296.39820205479981</v>
      </c>
      <c r="N90" s="39">
        <f t="shared" si="12"/>
        <v>4948.951797945293</v>
      </c>
      <c r="O90" s="42">
        <v>0</v>
      </c>
      <c r="P90" s="25">
        <f>E90+O90</f>
        <v>5245.3500000000931</v>
      </c>
      <c r="Q90" s="25">
        <v>5245.3500000000931</v>
      </c>
    </row>
    <row r="91" spans="1:18" ht="15.75" x14ac:dyDescent="0.25">
      <c r="A91" s="60">
        <v>95</v>
      </c>
      <c r="B91" s="60" t="s">
        <v>10</v>
      </c>
      <c r="C91" s="54">
        <f>N60</f>
        <v>20946055</v>
      </c>
      <c r="D91" s="29">
        <v>0</v>
      </c>
      <c r="E91" s="39">
        <v>0</v>
      </c>
      <c r="F91" s="2">
        <v>0</v>
      </c>
      <c r="G91" s="81"/>
      <c r="H91" s="39">
        <v>0</v>
      </c>
      <c r="I91" s="39">
        <f>C91+D91+E91+F91</f>
        <v>20946055</v>
      </c>
      <c r="J91" s="75">
        <v>0</v>
      </c>
      <c r="K91" s="2"/>
      <c r="L91" s="2"/>
      <c r="M91" s="39">
        <f t="shared" si="11"/>
        <v>0</v>
      </c>
      <c r="N91" s="39">
        <f t="shared" si="12"/>
        <v>20946055</v>
      </c>
      <c r="P91" s="25">
        <f>E91+O91</f>
        <v>0</v>
      </c>
      <c r="Q91" s="25">
        <f>E91</f>
        <v>0</v>
      </c>
    </row>
    <row r="92" spans="1:18" ht="15.75" thickBot="1" x14ac:dyDescent="0.3">
      <c r="A92" s="61" t="s">
        <v>11</v>
      </c>
      <c r="B92" s="62"/>
      <c r="C92" s="63">
        <f t="shared" ref="C92:I92" si="13">SUM(C67:C91)</f>
        <v>242097951.9591639</v>
      </c>
      <c r="D92" s="64">
        <f t="shared" si="13"/>
        <v>0</v>
      </c>
      <c r="E92" s="64">
        <f t="shared" si="13"/>
        <v>23479078.582526527</v>
      </c>
      <c r="F92" s="23">
        <f t="shared" si="13"/>
        <v>0</v>
      </c>
      <c r="G92" s="27">
        <f t="shared" si="13"/>
        <v>0</v>
      </c>
      <c r="H92" s="23">
        <f t="shared" si="13"/>
        <v>-214406</v>
      </c>
      <c r="I92" s="63">
        <f t="shared" si="13"/>
        <v>265362624.54169041</v>
      </c>
      <c r="J92" s="63" t="s">
        <v>0</v>
      </c>
      <c r="K92" s="63">
        <f>SUM(K67:K91)</f>
        <v>0</v>
      </c>
      <c r="L92" s="63">
        <f>SUM(L67:L91)</f>
        <v>0</v>
      </c>
      <c r="M92" s="63">
        <f>SUM(M67:M91)</f>
        <v>15356252.320569564</v>
      </c>
      <c r="N92" s="63">
        <f>SUM(N67:N91)</f>
        <v>250006372.22112086</v>
      </c>
      <c r="O92" s="42">
        <f>SUM(O69:O91)</f>
        <v>10366978.530000003</v>
      </c>
      <c r="P92" s="25">
        <f>SUM(P69:P91)</f>
        <v>33846057.112526529</v>
      </c>
      <c r="Q92" s="25">
        <f>SUM(Q69:Q91)</f>
        <v>33846057.112526529</v>
      </c>
      <c r="R92" s="4" t="s">
        <v>0</v>
      </c>
    </row>
    <row r="93" spans="1:18" ht="15.75" thickTop="1" x14ac:dyDescent="0.25">
      <c r="L93" s="67" t="s">
        <v>0</v>
      </c>
      <c r="M93" s="67" t="s">
        <v>0</v>
      </c>
    </row>
    <row r="94" spans="1:18" x14ac:dyDescent="0.25">
      <c r="M94" s="67" t="s">
        <v>0</v>
      </c>
      <c r="N94" s="86" t="s">
        <v>0</v>
      </c>
      <c r="O94" s="42" t="s">
        <v>0</v>
      </c>
    </row>
    <row r="95" spans="1:18" x14ac:dyDescent="0.25">
      <c r="A95" s="68">
        <v>2020</v>
      </c>
      <c r="B95" s="68" t="s">
        <v>107</v>
      </c>
      <c r="M95" s="87" t="s">
        <v>0</v>
      </c>
      <c r="N95" s="88" t="s">
        <v>0</v>
      </c>
    </row>
    <row r="96" spans="1:18" ht="41.45" customHeight="1" x14ac:dyDescent="0.25">
      <c r="A96" s="53" t="s">
        <v>2</v>
      </c>
      <c r="B96" s="53" t="s">
        <v>3</v>
      </c>
      <c r="C96" s="53" t="s">
        <v>101</v>
      </c>
      <c r="D96" s="69" t="s">
        <v>0</v>
      </c>
      <c r="E96" s="69" t="s">
        <v>102</v>
      </c>
      <c r="F96" s="69" t="s">
        <v>4</v>
      </c>
      <c r="G96" s="69" t="s">
        <v>12</v>
      </c>
      <c r="H96" s="69" t="s">
        <v>5</v>
      </c>
      <c r="I96" s="69" t="s">
        <v>6</v>
      </c>
      <c r="J96" s="69" t="s">
        <v>57</v>
      </c>
      <c r="K96" s="69" t="s">
        <v>58</v>
      </c>
      <c r="L96" s="69" t="s">
        <v>7</v>
      </c>
      <c r="M96" s="69" t="s">
        <v>61</v>
      </c>
      <c r="N96" s="69" t="s">
        <v>8</v>
      </c>
      <c r="O96" s="85" t="s">
        <v>108</v>
      </c>
      <c r="P96" s="41" t="s">
        <v>11</v>
      </c>
      <c r="Q96" s="41" t="s">
        <v>139</v>
      </c>
    </row>
    <row r="97" spans="1:17" x14ac:dyDescent="0.25">
      <c r="A97" s="53"/>
      <c r="B97" s="53"/>
      <c r="C97" s="70"/>
      <c r="D97" s="28"/>
      <c r="E97" s="39"/>
      <c r="F97" s="1"/>
      <c r="G97" s="1"/>
      <c r="H97" s="1"/>
      <c r="I97" s="71"/>
      <c r="J97" s="72"/>
      <c r="K97" s="1"/>
      <c r="L97" s="1"/>
      <c r="M97" s="73"/>
      <c r="N97" s="73"/>
    </row>
    <row r="98" spans="1:17" x14ac:dyDescent="0.25">
      <c r="A98" s="3">
        <v>1</v>
      </c>
      <c r="B98" s="3" t="s">
        <v>94</v>
      </c>
      <c r="C98" s="54">
        <f>N67</f>
        <v>76772432.078125313</v>
      </c>
      <c r="D98" s="29">
        <v>0</v>
      </c>
      <c r="E98" s="39"/>
      <c r="F98" s="2"/>
      <c r="G98" s="2"/>
      <c r="H98" s="39">
        <f>SUM(D98+G98)/2</f>
        <v>0</v>
      </c>
      <c r="I98" s="74">
        <f>C98+H98</f>
        <v>76772432.078125313</v>
      </c>
      <c r="J98" s="84">
        <v>0.04</v>
      </c>
      <c r="K98" s="2"/>
      <c r="L98" s="2"/>
      <c r="M98" s="39">
        <f>I98*J98</f>
        <v>3070897.2831250126</v>
      </c>
      <c r="N98" s="39">
        <f>H98+I98-M98</f>
        <v>73701534.7950003</v>
      </c>
    </row>
    <row r="99" spans="1:17" x14ac:dyDescent="0.25">
      <c r="A99" s="55" t="s">
        <v>92</v>
      </c>
      <c r="B99" s="3" t="s">
        <v>93</v>
      </c>
      <c r="C99" s="54">
        <f>N68+N69</f>
        <v>9533705.5596997347</v>
      </c>
      <c r="D99" s="29">
        <v>0</v>
      </c>
      <c r="E99" s="39"/>
      <c r="F99" s="2" t="s">
        <v>0</v>
      </c>
      <c r="G99" s="2"/>
      <c r="H99" s="74">
        <f>SUM(D99+G99)/2</f>
        <v>0</v>
      </c>
      <c r="I99" s="74">
        <f>C99+H99</f>
        <v>9533705.5596997347</v>
      </c>
      <c r="J99" s="75">
        <v>0.06</v>
      </c>
      <c r="K99" s="2"/>
      <c r="L99" s="2"/>
      <c r="M99" s="39">
        <f t="shared" ref="M99:M123" si="14">I99*J99</f>
        <v>572022.33358198404</v>
      </c>
      <c r="N99" s="39">
        <f>H99+I99-M99</f>
        <v>8961683.2261177506</v>
      </c>
    </row>
    <row r="100" spans="1:17" x14ac:dyDescent="0.25">
      <c r="A100" s="55" t="s">
        <v>92</v>
      </c>
      <c r="B100" s="3" t="s">
        <v>91</v>
      </c>
      <c r="C100" s="54">
        <v>0</v>
      </c>
      <c r="D100" s="29">
        <v>0</v>
      </c>
      <c r="E100" s="39">
        <f>Q100-O100</f>
        <v>668904.33000000007</v>
      </c>
      <c r="F100" s="2"/>
      <c r="G100" s="2"/>
      <c r="H100" s="74">
        <f>SUM(D100+G100)/2</f>
        <v>0</v>
      </c>
      <c r="I100" s="74">
        <f>C100+E100+G100</f>
        <v>668904.33000000007</v>
      </c>
      <c r="J100" s="75">
        <f>J99*1.5</f>
        <v>0.09</v>
      </c>
      <c r="K100" s="2"/>
      <c r="L100" s="2"/>
      <c r="M100" s="39">
        <f t="shared" si="14"/>
        <v>60201.389700000007</v>
      </c>
      <c r="N100" s="39">
        <f>H100+I100-M100</f>
        <v>608702.94030000002</v>
      </c>
      <c r="O100" s="42">
        <v>0</v>
      </c>
      <c r="P100" s="25">
        <f>E100+O100</f>
        <v>668904.33000000007</v>
      </c>
      <c r="Q100" s="25">
        <v>668904.33000000007</v>
      </c>
    </row>
    <row r="101" spans="1:17" x14ac:dyDescent="0.25">
      <c r="A101" s="56">
        <v>8</v>
      </c>
      <c r="B101" s="56" t="s">
        <v>90</v>
      </c>
      <c r="C101" s="54">
        <f>N70+N71</f>
        <v>4162383.0546860462</v>
      </c>
      <c r="D101" s="67">
        <v>0</v>
      </c>
      <c r="E101" s="29"/>
      <c r="F101" s="2"/>
      <c r="G101" s="2"/>
      <c r="H101" s="74">
        <f>SUM(E101+G101)/2</f>
        <v>0</v>
      </c>
      <c r="I101" s="74">
        <f>C101+H101</f>
        <v>4162383.0546860462</v>
      </c>
      <c r="J101" s="75">
        <v>0.2</v>
      </c>
      <c r="K101" s="2"/>
      <c r="L101" s="2"/>
      <c r="M101" s="39">
        <f t="shared" si="14"/>
        <v>832476.61093720933</v>
      </c>
      <c r="N101" s="39">
        <f t="shared" ref="N101:N113" si="15">H101+I101-M101</f>
        <v>3329906.4437488369</v>
      </c>
    </row>
    <row r="102" spans="1:17" x14ac:dyDescent="0.25">
      <c r="A102" s="56">
        <v>8</v>
      </c>
      <c r="B102" s="56" t="s">
        <v>62</v>
      </c>
      <c r="C102" s="54">
        <v>0</v>
      </c>
      <c r="D102" s="29">
        <v>0</v>
      </c>
      <c r="E102" s="39">
        <f>Q102-O102</f>
        <v>696010.71999999986</v>
      </c>
      <c r="F102" s="2"/>
      <c r="G102" s="2"/>
      <c r="H102" s="39"/>
      <c r="I102" s="74">
        <f>C102+E102+G102</f>
        <v>696010.71999999986</v>
      </c>
      <c r="J102" s="75">
        <f>J101*1.5</f>
        <v>0.30000000000000004</v>
      </c>
      <c r="K102" s="2"/>
      <c r="L102" s="2"/>
      <c r="M102" s="39">
        <f t="shared" si="14"/>
        <v>208803.21599999999</v>
      </c>
      <c r="N102" s="39">
        <f t="shared" si="15"/>
        <v>487207.50399999984</v>
      </c>
      <c r="O102" s="42">
        <v>92730.89</v>
      </c>
      <c r="P102" s="25">
        <f>E102+O102</f>
        <v>788741.60999999987</v>
      </c>
      <c r="Q102" s="25">
        <v>788741.60999999987</v>
      </c>
    </row>
    <row r="103" spans="1:17" x14ac:dyDescent="0.25">
      <c r="A103" s="3">
        <v>10</v>
      </c>
      <c r="B103" s="3" t="s">
        <v>9</v>
      </c>
      <c r="C103" s="54">
        <f>N72+N73</f>
        <v>2701741.3039375413</v>
      </c>
      <c r="D103" s="29">
        <v>0</v>
      </c>
      <c r="E103" s="39"/>
      <c r="F103" s="2"/>
      <c r="G103" s="2">
        <v>0</v>
      </c>
      <c r="H103" s="39">
        <v>-23167.88</v>
      </c>
      <c r="I103" s="74">
        <f>C103+H103+G103</f>
        <v>2678573.4239375414</v>
      </c>
      <c r="J103" s="75">
        <v>0.3</v>
      </c>
      <c r="K103" s="2"/>
      <c r="L103" s="2"/>
      <c r="M103" s="39">
        <f t="shared" si="14"/>
        <v>803572.02718126238</v>
      </c>
      <c r="N103" s="39">
        <f>I103-M103</f>
        <v>1875001.396756279</v>
      </c>
    </row>
    <row r="104" spans="1:17" x14ac:dyDescent="0.25">
      <c r="A104" s="3">
        <v>10</v>
      </c>
      <c r="B104" s="3" t="s">
        <v>89</v>
      </c>
      <c r="C104" s="54">
        <v>0</v>
      </c>
      <c r="D104" s="29">
        <v>0</v>
      </c>
      <c r="E104" s="39">
        <f>Q104-O104</f>
        <v>784692.74000000022</v>
      </c>
      <c r="F104" s="2"/>
      <c r="G104" s="2"/>
      <c r="H104" s="39"/>
      <c r="I104" s="74">
        <f>C104+E104+G104</f>
        <v>784692.74000000022</v>
      </c>
      <c r="J104" s="75">
        <f>J103*1.5</f>
        <v>0.44999999999999996</v>
      </c>
      <c r="K104" s="2"/>
      <c r="L104" s="2"/>
      <c r="M104" s="39">
        <f t="shared" si="14"/>
        <v>353111.73300000007</v>
      </c>
      <c r="N104" s="39">
        <f t="shared" si="15"/>
        <v>431581.00700000016</v>
      </c>
      <c r="Q104" s="25">
        <v>784692.74000000022</v>
      </c>
    </row>
    <row r="105" spans="1:17" x14ac:dyDescent="0.25">
      <c r="A105" s="56">
        <v>10.1</v>
      </c>
      <c r="B105" s="3" t="s">
        <v>88</v>
      </c>
      <c r="C105" s="54">
        <f>N74</f>
        <v>575.00286547072244</v>
      </c>
      <c r="D105" s="29">
        <v>0</v>
      </c>
      <c r="E105" s="39"/>
      <c r="F105" s="2"/>
      <c r="G105" s="2"/>
      <c r="H105" s="39">
        <f>SUM(D105+G105)/2</f>
        <v>0</v>
      </c>
      <c r="I105" s="74">
        <f>C105+H105</f>
        <v>575.00286547072244</v>
      </c>
      <c r="J105" s="75">
        <v>0.3</v>
      </c>
      <c r="K105" s="2"/>
      <c r="L105" s="2"/>
      <c r="M105" s="39">
        <f t="shared" si="14"/>
        <v>172.50085964121672</v>
      </c>
      <c r="N105" s="39">
        <f t="shared" si="15"/>
        <v>402.50200582950572</v>
      </c>
    </row>
    <row r="106" spans="1:17" x14ac:dyDescent="0.25">
      <c r="A106" s="56">
        <v>10.1</v>
      </c>
      <c r="B106" s="3" t="s">
        <v>87</v>
      </c>
      <c r="C106" s="54">
        <f>N75</f>
        <v>576.04406577035274</v>
      </c>
      <c r="D106" s="29">
        <v>0</v>
      </c>
      <c r="E106" s="39"/>
      <c r="F106" s="2"/>
      <c r="G106" s="2"/>
      <c r="H106" s="39">
        <f>SUM(D106+G106)/2</f>
        <v>0</v>
      </c>
      <c r="I106" s="74">
        <f>C106+H106</f>
        <v>576.04406577035274</v>
      </c>
      <c r="J106" s="75">
        <v>0.3</v>
      </c>
      <c r="K106" s="2"/>
      <c r="L106" s="2"/>
      <c r="M106" s="39">
        <f t="shared" si="14"/>
        <v>172.81321973110582</v>
      </c>
      <c r="N106" s="39">
        <f t="shared" si="15"/>
        <v>403.2308460392469</v>
      </c>
    </row>
    <row r="107" spans="1:17" x14ac:dyDescent="0.25">
      <c r="A107" s="56">
        <v>10.1</v>
      </c>
      <c r="B107" s="3" t="s">
        <v>86</v>
      </c>
      <c r="C107" s="54">
        <f>N76</f>
        <v>833.39407316225879</v>
      </c>
      <c r="D107" s="29">
        <v>0</v>
      </c>
      <c r="E107" s="39"/>
      <c r="F107" s="2"/>
      <c r="G107" s="2"/>
      <c r="H107" s="39">
        <f>SUM(D107+G107)/2</f>
        <v>0</v>
      </c>
      <c r="I107" s="74">
        <f>C107+H107</f>
        <v>833.39407316225879</v>
      </c>
      <c r="J107" s="75">
        <v>0.3</v>
      </c>
      <c r="K107" s="2"/>
      <c r="L107" s="2"/>
      <c r="M107" s="39">
        <f t="shared" si="14"/>
        <v>250.01822194867762</v>
      </c>
      <c r="N107" s="39">
        <f t="shared" si="15"/>
        <v>583.3758512135812</v>
      </c>
    </row>
    <row r="108" spans="1:17" x14ac:dyDescent="0.25">
      <c r="A108" s="56">
        <v>10.1</v>
      </c>
      <c r="B108" s="3" t="s">
        <v>85</v>
      </c>
      <c r="C108" s="54">
        <f>N77</f>
        <v>1190.4927219576168</v>
      </c>
      <c r="D108" s="29">
        <v>0</v>
      </c>
      <c r="E108" s="39"/>
      <c r="F108" s="2"/>
      <c r="G108" s="2"/>
      <c r="H108" s="39">
        <f>SUM(D108+G108)/2</f>
        <v>0</v>
      </c>
      <c r="I108" s="74">
        <f>C108+H108</f>
        <v>1190.4927219576168</v>
      </c>
      <c r="J108" s="75">
        <v>0.3</v>
      </c>
      <c r="K108" s="2"/>
      <c r="L108" s="2"/>
      <c r="M108" s="39">
        <f t="shared" si="14"/>
        <v>357.14781658728504</v>
      </c>
      <c r="N108" s="39">
        <f t="shared" si="15"/>
        <v>833.34490537033184</v>
      </c>
    </row>
    <row r="109" spans="1:17" x14ac:dyDescent="0.25">
      <c r="A109" s="56">
        <v>12</v>
      </c>
      <c r="B109" s="57" t="s">
        <v>84</v>
      </c>
      <c r="C109" s="54">
        <f>N78+N79</f>
        <v>281049.56850534788</v>
      </c>
      <c r="D109" s="67">
        <v>0</v>
      </c>
      <c r="E109" s="29"/>
      <c r="F109" s="2"/>
      <c r="G109" s="2"/>
      <c r="H109" s="74">
        <f>SUM(E109+G109)/2</f>
        <v>0</v>
      </c>
      <c r="I109" s="74">
        <f>C109+H109</f>
        <v>281049.56850534788</v>
      </c>
      <c r="J109" s="75">
        <v>1</v>
      </c>
      <c r="K109" s="2"/>
      <c r="L109" s="2"/>
      <c r="M109" s="39">
        <f t="shared" si="14"/>
        <v>281049.56850534788</v>
      </c>
      <c r="N109" s="39">
        <f t="shared" si="15"/>
        <v>0</v>
      </c>
    </row>
    <row r="110" spans="1:17" x14ac:dyDescent="0.25">
      <c r="A110" s="56">
        <v>12</v>
      </c>
      <c r="B110" s="57" t="s">
        <v>83</v>
      </c>
      <c r="C110" s="54">
        <v>0</v>
      </c>
      <c r="D110" s="29">
        <v>0</v>
      </c>
      <c r="E110" s="39">
        <f>Q110-O110</f>
        <v>2132936.0599999991</v>
      </c>
      <c r="F110" s="2"/>
      <c r="G110" s="2"/>
      <c r="H110" s="74"/>
      <c r="I110" s="74">
        <f>C110+E110+G110</f>
        <v>2132936.0599999991</v>
      </c>
      <c r="J110" s="75">
        <f>J109</f>
        <v>1</v>
      </c>
      <c r="K110" s="2"/>
      <c r="L110" s="2"/>
      <c r="M110" s="39">
        <f t="shared" si="14"/>
        <v>2132936.0599999991</v>
      </c>
      <c r="N110" s="39">
        <f t="shared" si="15"/>
        <v>0</v>
      </c>
      <c r="Q110" s="25">
        <v>2132936.0599999991</v>
      </c>
    </row>
    <row r="111" spans="1:17" x14ac:dyDescent="0.25">
      <c r="A111" s="56">
        <v>13</v>
      </c>
      <c r="B111" s="57" t="s">
        <v>82</v>
      </c>
      <c r="C111" s="54">
        <f>N80</f>
        <v>131693.8902136666</v>
      </c>
      <c r="D111" s="29">
        <v>0</v>
      </c>
      <c r="E111" s="39"/>
      <c r="F111" s="2"/>
      <c r="G111" s="2"/>
      <c r="H111" s="74">
        <v>0</v>
      </c>
      <c r="I111" s="74">
        <f>C111+D111</f>
        <v>131693.8902136666</v>
      </c>
      <c r="J111" s="75">
        <v>0</v>
      </c>
      <c r="K111" s="2"/>
      <c r="L111" s="77"/>
      <c r="M111" s="74">
        <f>I111/30*9</f>
        <v>39508.16706409998</v>
      </c>
      <c r="N111" s="39">
        <f t="shared" si="15"/>
        <v>92185.72314956662</v>
      </c>
    </row>
    <row r="112" spans="1:17" x14ac:dyDescent="0.25">
      <c r="A112" s="56">
        <v>42</v>
      </c>
      <c r="B112" s="56" t="s">
        <v>81</v>
      </c>
      <c r="C112" s="54">
        <f>N81</f>
        <v>1915.7659135952529</v>
      </c>
      <c r="D112" s="29">
        <v>0</v>
      </c>
      <c r="E112" s="39"/>
      <c r="F112" s="2"/>
      <c r="G112" s="2"/>
      <c r="H112" s="74">
        <f>SUM(D112+G112)/2</f>
        <v>0</v>
      </c>
      <c r="I112" s="74">
        <f>C112+H112</f>
        <v>1915.7659135952529</v>
      </c>
      <c r="J112" s="75">
        <v>0.12</v>
      </c>
      <c r="K112" s="2"/>
      <c r="L112" s="2"/>
      <c r="M112" s="39">
        <f t="shared" si="14"/>
        <v>229.89190963143034</v>
      </c>
      <c r="N112" s="39">
        <f t="shared" si="15"/>
        <v>1685.8740039638226</v>
      </c>
    </row>
    <row r="113" spans="1:17" x14ac:dyDescent="0.25">
      <c r="A113" s="3">
        <v>45</v>
      </c>
      <c r="B113" s="3" t="s">
        <v>80</v>
      </c>
      <c r="C113" s="54">
        <f>N82</f>
        <v>345.37384768841952</v>
      </c>
      <c r="D113" s="78">
        <v>0</v>
      </c>
      <c r="E113" s="39"/>
      <c r="F113" s="2"/>
      <c r="G113" s="2"/>
      <c r="H113" s="74">
        <f>SUM(D113+G113)/2</f>
        <v>0</v>
      </c>
      <c r="I113" s="74">
        <f>C113+H113</f>
        <v>345.37384768841952</v>
      </c>
      <c r="J113" s="75">
        <v>0.45</v>
      </c>
      <c r="K113" s="2"/>
      <c r="L113" s="2"/>
      <c r="M113" s="39">
        <f t="shared" si="14"/>
        <v>155.41823145978879</v>
      </c>
      <c r="N113" s="39">
        <f t="shared" si="15"/>
        <v>189.95561622863073</v>
      </c>
    </row>
    <row r="114" spans="1:17" ht="15.75" x14ac:dyDescent="0.25">
      <c r="A114" s="56">
        <v>47</v>
      </c>
      <c r="B114" s="56" t="s">
        <v>79</v>
      </c>
      <c r="C114" s="54">
        <f>N83+N84</f>
        <v>130084848.69172908</v>
      </c>
      <c r="D114" s="67">
        <v>0</v>
      </c>
      <c r="E114" s="29"/>
      <c r="F114" s="2">
        <v>0</v>
      </c>
      <c r="G114" s="67">
        <v>0</v>
      </c>
      <c r="H114" s="39">
        <v>-107472</v>
      </c>
      <c r="I114" s="74">
        <f>C114+H114+G114</f>
        <v>129977376.69172908</v>
      </c>
      <c r="J114" s="75">
        <v>0.08</v>
      </c>
      <c r="K114" s="2"/>
      <c r="L114" s="2"/>
      <c r="M114" s="39">
        <f t="shared" si="14"/>
        <v>10398190.135338327</v>
      </c>
      <c r="N114" s="39">
        <f>I114-M114</f>
        <v>119579186.55639076</v>
      </c>
    </row>
    <row r="115" spans="1:17" x14ac:dyDescent="0.25">
      <c r="A115" s="56">
        <v>47</v>
      </c>
      <c r="B115" s="56" t="s">
        <v>78</v>
      </c>
      <c r="C115" s="54">
        <v>0</v>
      </c>
      <c r="D115" s="29">
        <v>0</v>
      </c>
      <c r="E115" s="39">
        <f>Q115-O115</f>
        <v>13376741.014306854</v>
      </c>
      <c r="F115" s="2"/>
      <c r="G115" s="2">
        <v>0</v>
      </c>
      <c r="H115" s="74">
        <v>0</v>
      </c>
      <c r="I115" s="74">
        <f>C115+E115+G115</f>
        <v>13376741.014306854</v>
      </c>
      <c r="J115" s="75">
        <f>J114*1.5</f>
        <v>0.12</v>
      </c>
      <c r="K115" s="2"/>
      <c r="L115" s="2"/>
      <c r="M115" s="39">
        <f t="shared" si="14"/>
        <v>1605208.9217168225</v>
      </c>
      <c r="N115" s="39">
        <f>H115+I115-M115</f>
        <v>11771532.092590032</v>
      </c>
      <c r="O115" s="42">
        <v>7677846.5999999987</v>
      </c>
      <c r="Q115" s="25">
        <v>21054587.614306852</v>
      </c>
    </row>
    <row r="116" spans="1:17" x14ac:dyDescent="0.25">
      <c r="A116" s="3">
        <v>50</v>
      </c>
      <c r="B116" s="3" t="s">
        <v>77</v>
      </c>
      <c r="C116" s="54">
        <f>N85+N86</f>
        <v>493670.71376430924</v>
      </c>
      <c r="D116" s="29">
        <v>0</v>
      </c>
      <c r="E116" s="39"/>
      <c r="F116" s="2">
        <v>0</v>
      </c>
      <c r="G116" s="2">
        <v>0</v>
      </c>
      <c r="H116" s="2">
        <v>0</v>
      </c>
      <c r="I116" s="74">
        <f>C116+H116+G116</f>
        <v>493670.71376430924</v>
      </c>
      <c r="J116" s="75">
        <v>0.55000000000000004</v>
      </c>
      <c r="K116" s="2"/>
      <c r="L116" s="2"/>
      <c r="M116" s="39">
        <f t="shared" si="14"/>
        <v>271518.89257037011</v>
      </c>
      <c r="N116" s="39">
        <f t="shared" ref="N116:N121" si="16">H116+I116-M116</f>
        <v>222151.82119393913</v>
      </c>
    </row>
    <row r="117" spans="1:17" x14ac:dyDescent="0.25">
      <c r="A117" s="58">
        <v>50</v>
      </c>
      <c r="B117" s="3" t="s">
        <v>76</v>
      </c>
      <c r="C117" s="54">
        <v>0</v>
      </c>
      <c r="D117" s="29">
        <v>0</v>
      </c>
      <c r="E117" s="39">
        <f>Q117-O117</f>
        <v>1555525</v>
      </c>
      <c r="F117" s="5"/>
      <c r="G117" s="5">
        <v>0</v>
      </c>
      <c r="H117" s="39"/>
      <c r="I117" s="74">
        <f>C117+E117+G117</f>
        <v>1555525</v>
      </c>
      <c r="J117" s="75">
        <f>J116*1.5</f>
        <v>0.82500000000000007</v>
      </c>
      <c r="K117" s="5"/>
      <c r="L117" s="5"/>
      <c r="M117" s="39">
        <f t="shared" si="14"/>
        <v>1283308.125</v>
      </c>
      <c r="N117" s="39">
        <f t="shared" si="16"/>
        <v>272216.875</v>
      </c>
      <c r="Q117" s="25">
        <v>1555525</v>
      </c>
    </row>
    <row r="118" spans="1:17" x14ac:dyDescent="0.25">
      <c r="A118" s="59">
        <v>43.2</v>
      </c>
      <c r="B118" s="79" t="s">
        <v>75</v>
      </c>
      <c r="C118" s="54">
        <f>N87</f>
        <v>11145.586522924888</v>
      </c>
      <c r="D118" s="29">
        <v>0</v>
      </c>
      <c r="E118" s="39"/>
      <c r="F118" s="5"/>
      <c r="G118" s="5"/>
      <c r="H118" s="39">
        <f>SUM(D118+G118)/2</f>
        <v>0</v>
      </c>
      <c r="I118" s="74">
        <f>C118+H118</f>
        <v>11145.586522924888</v>
      </c>
      <c r="J118" s="75">
        <v>0.5</v>
      </c>
      <c r="K118" s="5"/>
      <c r="L118" s="5"/>
      <c r="M118" s="39">
        <f t="shared" si="14"/>
        <v>5572.7932614624442</v>
      </c>
      <c r="N118" s="39">
        <f t="shared" si="16"/>
        <v>5572.7932614624442</v>
      </c>
    </row>
    <row r="119" spans="1:17" x14ac:dyDescent="0.25">
      <c r="A119" s="59">
        <v>43.2</v>
      </c>
      <c r="B119" s="79" t="s">
        <v>75</v>
      </c>
      <c r="C119" s="54">
        <v>0</v>
      </c>
      <c r="D119" s="2">
        <v>0</v>
      </c>
      <c r="E119" s="39">
        <f>Q119-O119</f>
        <v>106921.715</v>
      </c>
      <c r="F119" s="5"/>
      <c r="G119" s="5"/>
      <c r="H119" s="39"/>
      <c r="I119" s="74">
        <f>C119+E119+G119</f>
        <v>106921.715</v>
      </c>
      <c r="J119" s="75">
        <v>1</v>
      </c>
      <c r="K119" s="5"/>
      <c r="L119" s="5"/>
      <c r="M119" s="39">
        <f t="shared" si="14"/>
        <v>106921.715</v>
      </c>
      <c r="N119" s="39">
        <f t="shared" si="16"/>
        <v>0</v>
      </c>
      <c r="Q119" s="25">
        <v>106921.715</v>
      </c>
    </row>
    <row r="120" spans="1:17" x14ac:dyDescent="0.25">
      <c r="A120" s="59">
        <v>14.1</v>
      </c>
      <c r="B120" s="79" t="s">
        <v>74</v>
      </c>
      <c r="C120" s="54">
        <f>N88</f>
        <v>3588735.1576852328</v>
      </c>
      <c r="D120" s="67">
        <v>0</v>
      </c>
      <c r="E120" s="39"/>
      <c r="F120" s="5"/>
      <c r="G120" s="5"/>
      <c r="H120" s="39"/>
      <c r="I120" s="74">
        <f>C120</f>
        <v>3588735.1576852328</v>
      </c>
      <c r="J120" s="75">
        <v>7.0000000000000007E-2</v>
      </c>
      <c r="K120" s="5"/>
      <c r="L120" s="5"/>
      <c r="M120" s="39">
        <f t="shared" si="14"/>
        <v>251211.46103796634</v>
      </c>
      <c r="N120" s="39">
        <f t="shared" si="16"/>
        <v>3337523.6966472664</v>
      </c>
    </row>
    <row r="121" spans="1:17" x14ac:dyDescent="0.25">
      <c r="A121" s="59">
        <v>14.1</v>
      </c>
      <c r="B121" s="79" t="s">
        <v>73</v>
      </c>
      <c r="C121" s="54">
        <f>N89+N90</f>
        <v>1293475.5427640327</v>
      </c>
      <c r="D121" s="29">
        <v>0</v>
      </c>
      <c r="E121" s="39"/>
      <c r="F121" s="5"/>
      <c r="G121" s="5"/>
      <c r="H121" s="39"/>
      <c r="I121" s="74">
        <f>C121+E121+G121</f>
        <v>1293475.5427640327</v>
      </c>
      <c r="J121" s="75">
        <v>0.05</v>
      </c>
      <c r="K121" s="5"/>
      <c r="L121" s="5"/>
      <c r="M121" s="39">
        <f t="shared" si="14"/>
        <v>64673.777138201636</v>
      </c>
      <c r="N121" s="39">
        <f t="shared" si="16"/>
        <v>1228801.7656258312</v>
      </c>
    </row>
    <row r="122" spans="1:17" x14ac:dyDescent="0.25">
      <c r="A122" s="59">
        <v>14.1</v>
      </c>
      <c r="B122" s="79" t="s">
        <v>96</v>
      </c>
      <c r="C122" s="54">
        <v>0</v>
      </c>
      <c r="D122" s="29"/>
      <c r="E122" s="39">
        <f>Q122-O122</f>
        <v>9269</v>
      </c>
      <c r="F122" s="5"/>
      <c r="G122" s="5"/>
      <c r="H122" s="39"/>
      <c r="I122" s="74">
        <f>C122+E122+G122</f>
        <v>9269</v>
      </c>
      <c r="J122" s="75">
        <f>J121*1.5</f>
        <v>7.5000000000000011E-2</v>
      </c>
      <c r="K122" s="5"/>
      <c r="L122" s="5"/>
      <c r="M122" s="39">
        <f t="shared" si="14"/>
        <v>695.17500000000007</v>
      </c>
      <c r="N122" s="39">
        <f>H122+I122-M122</f>
        <v>8573.8250000000007</v>
      </c>
      <c r="Q122" s="25">
        <v>9269</v>
      </c>
    </row>
    <row r="123" spans="1:17" ht="15.75" x14ac:dyDescent="0.25">
      <c r="A123" s="60">
        <v>95</v>
      </c>
      <c r="B123" s="60" t="s">
        <v>10</v>
      </c>
      <c r="C123" s="54">
        <v>0</v>
      </c>
      <c r="D123" s="29">
        <v>0</v>
      </c>
      <c r="E123" s="39">
        <v>0</v>
      </c>
      <c r="F123" s="2">
        <v>0</v>
      </c>
      <c r="G123" s="81"/>
      <c r="H123" s="39">
        <v>0</v>
      </c>
      <c r="I123" s="39">
        <f>C123+D123+E123+F123</f>
        <v>0</v>
      </c>
      <c r="J123" s="75">
        <v>0</v>
      </c>
      <c r="K123" s="2"/>
      <c r="L123" s="2"/>
      <c r="M123" s="39">
        <f t="shared" si="14"/>
        <v>0</v>
      </c>
      <c r="N123" s="39">
        <f>H123+I123-M123</f>
        <v>0</v>
      </c>
      <c r="Q123" s="25">
        <f>E123</f>
        <v>0</v>
      </c>
    </row>
    <row r="124" spans="1:17" ht="15.75" thickBot="1" x14ac:dyDescent="0.3">
      <c r="A124" s="61" t="s">
        <v>11</v>
      </c>
      <c r="B124" s="62"/>
      <c r="C124" s="63">
        <f t="shared" ref="C124:I124" si="17">SUM(C98:C123)</f>
        <v>229060317.22112086</v>
      </c>
      <c r="D124" s="64">
        <f t="shared" si="17"/>
        <v>0</v>
      </c>
      <c r="E124" s="64">
        <f t="shared" si="17"/>
        <v>19331000.579306852</v>
      </c>
      <c r="F124" s="23">
        <f t="shared" si="17"/>
        <v>0</v>
      </c>
      <c r="G124" s="27">
        <f t="shared" si="17"/>
        <v>0</v>
      </c>
      <c r="H124" s="23">
        <f t="shared" si="17"/>
        <v>-130639.88</v>
      </c>
      <c r="I124" s="63">
        <f t="shared" si="17"/>
        <v>248260677.92042771</v>
      </c>
      <c r="J124" s="63" t="s">
        <v>0</v>
      </c>
      <c r="K124" s="63">
        <f>SUM(K98:K123)</f>
        <v>0</v>
      </c>
      <c r="L124" s="63">
        <f>SUM(L98:L123)</f>
        <v>0</v>
      </c>
      <c r="M124" s="63">
        <f>SUM(M98:M123)</f>
        <v>22343217.175417066</v>
      </c>
      <c r="N124" s="63">
        <f>SUM(N98:N123)</f>
        <v>225917460.74501064</v>
      </c>
      <c r="O124" s="42">
        <f>SUM(O100:O123)</f>
        <v>7770577.4899999984</v>
      </c>
      <c r="P124" s="91">
        <f>E124+O124</f>
        <v>27101578.06930685</v>
      </c>
      <c r="Q124" s="25">
        <f>SUM(Q100:Q123)</f>
        <v>27101578.06930685</v>
      </c>
    </row>
    <row r="125" spans="1:17" ht="15.75" thickTop="1" x14ac:dyDescent="0.25">
      <c r="M125" s="67" t="s">
        <v>0</v>
      </c>
    </row>
    <row r="126" spans="1:17" x14ac:dyDescent="0.25">
      <c r="A126" s="68">
        <v>2021</v>
      </c>
      <c r="B126" s="68" t="s">
        <v>107</v>
      </c>
      <c r="M126" s="67" t="s">
        <v>0</v>
      </c>
      <c r="N126" s="42" t="s">
        <v>0</v>
      </c>
      <c r="O126" s="42" t="s">
        <v>0</v>
      </c>
    </row>
    <row r="127" spans="1:17" ht="69.599999999999994" customHeight="1" x14ac:dyDescent="0.25">
      <c r="A127" s="53" t="s">
        <v>2</v>
      </c>
      <c r="B127" s="53" t="s">
        <v>3</v>
      </c>
      <c r="C127" s="53" t="s">
        <v>104</v>
      </c>
      <c r="D127" s="69" t="s">
        <v>0</v>
      </c>
      <c r="E127" s="69" t="s">
        <v>106</v>
      </c>
      <c r="F127" s="69" t="s">
        <v>4</v>
      </c>
      <c r="G127" s="69" t="s">
        <v>12</v>
      </c>
      <c r="H127" s="69" t="s">
        <v>5</v>
      </c>
      <c r="I127" s="69" t="s">
        <v>6</v>
      </c>
      <c r="J127" s="69" t="s">
        <v>57</v>
      </c>
      <c r="K127" s="69" t="s">
        <v>58</v>
      </c>
      <c r="L127" s="69" t="s">
        <v>7</v>
      </c>
      <c r="M127" s="69" t="s">
        <v>61</v>
      </c>
      <c r="N127" s="69" t="s">
        <v>8</v>
      </c>
      <c r="O127" s="85" t="s">
        <v>108</v>
      </c>
      <c r="P127" s="41" t="s">
        <v>11</v>
      </c>
      <c r="Q127" s="41" t="s">
        <v>138</v>
      </c>
    </row>
    <row r="128" spans="1:17" x14ac:dyDescent="0.25">
      <c r="A128" s="53"/>
      <c r="B128" s="53"/>
      <c r="C128" s="70"/>
      <c r="D128" s="28"/>
      <c r="E128" s="39"/>
      <c r="F128" s="1"/>
      <c r="G128" s="1"/>
      <c r="H128" s="1"/>
      <c r="I128" s="71"/>
      <c r="J128" s="72"/>
      <c r="K128" s="1"/>
      <c r="L128" s="1"/>
      <c r="M128" s="73"/>
      <c r="N128" s="73"/>
    </row>
    <row r="129" spans="1:22" x14ac:dyDescent="0.25">
      <c r="A129" s="3">
        <v>1</v>
      </c>
      <c r="B129" s="3" t="s">
        <v>94</v>
      </c>
      <c r="C129" s="54">
        <f>N98</f>
        <v>73701534.7950003</v>
      </c>
      <c r="D129" s="29">
        <v>0</v>
      </c>
      <c r="E129" s="39"/>
      <c r="F129" s="2"/>
      <c r="G129" s="2"/>
      <c r="H129" s="39">
        <f>SUM(D129+G129)/2</f>
        <v>0</v>
      </c>
      <c r="I129" s="74">
        <f>C129+H129</f>
        <v>73701534.7950003</v>
      </c>
      <c r="J129" s="75">
        <v>0.04</v>
      </c>
      <c r="K129" s="2"/>
      <c r="L129" s="2"/>
      <c r="M129" s="39">
        <f>I129*J129</f>
        <v>2948061.391800012</v>
      </c>
      <c r="N129" s="39">
        <f>H129+I129-M129</f>
        <v>70753473.403200284</v>
      </c>
    </row>
    <row r="130" spans="1:22" x14ac:dyDescent="0.25">
      <c r="A130" s="55" t="s">
        <v>92</v>
      </c>
      <c r="B130" s="3" t="s">
        <v>93</v>
      </c>
      <c r="C130" s="54">
        <f>N99+N100</f>
        <v>9570386.1664177515</v>
      </c>
      <c r="D130" s="29">
        <v>0</v>
      </c>
      <c r="F130" s="2" t="s">
        <v>0</v>
      </c>
      <c r="G130" s="2"/>
      <c r="H130" s="74">
        <f>SUM(D130+G130)/2</f>
        <v>0</v>
      </c>
      <c r="I130" s="74">
        <f>C130+H130</f>
        <v>9570386.1664177515</v>
      </c>
      <c r="J130" s="75">
        <v>0.06</v>
      </c>
      <c r="K130" s="2"/>
      <c r="L130" s="2"/>
      <c r="M130" s="39">
        <f t="shared" ref="M130:M141" si="18">I130*J130</f>
        <v>574223.16998506512</v>
      </c>
      <c r="N130" s="39">
        <f>H130+I130-M130</f>
        <v>8996162.9964326862</v>
      </c>
    </row>
    <row r="131" spans="1:22" x14ac:dyDescent="0.25">
      <c r="A131" s="55" t="s">
        <v>92</v>
      </c>
      <c r="B131" s="3" t="s">
        <v>91</v>
      </c>
      <c r="C131" s="54">
        <v>0</v>
      </c>
      <c r="D131" s="29">
        <v>0</v>
      </c>
      <c r="E131" s="39">
        <f>Q131-O131</f>
        <v>510575.92000000016</v>
      </c>
      <c r="F131" s="2"/>
      <c r="G131" s="2"/>
      <c r="H131" s="74">
        <f>SUM(D131+G131)/2</f>
        <v>0</v>
      </c>
      <c r="I131" s="74">
        <f>C131+E131+G131</f>
        <v>510575.92000000016</v>
      </c>
      <c r="J131" s="75">
        <f>J130*1.5</f>
        <v>0.09</v>
      </c>
      <c r="K131" s="2"/>
      <c r="L131" s="2"/>
      <c r="M131" s="39">
        <f t="shared" si="18"/>
        <v>45951.832800000011</v>
      </c>
      <c r="N131" s="39">
        <f>H131+I131-M131</f>
        <v>464624.08720000013</v>
      </c>
      <c r="O131" s="42">
        <v>198995.51</v>
      </c>
      <c r="P131" s="25">
        <f>E131+O131</f>
        <v>709571.43000000017</v>
      </c>
      <c r="Q131" s="25">
        <v>709571.43000000017</v>
      </c>
      <c r="T131" s="30"/>
      <c r="U131" s="30">
        <v>709571.43000000017</v>
      </c>
    </row>
    <row r="132" spans="1:22" x14ac:dyDescent="0.25">
      <c r="A132" s="56">
        <v>8</v>
      </c>
      <c r="B132" s="56" t="s">
        <v>90</v>
      </c>
      <c r="C132" s="54">
        <f>N101+N102</f>
        <v>3817113.9477488366</v>
      </c>
      <c r="D132" s="67">
        <v>0</v>
      </c>
      <c r="E132" s="29"/>
      <c r="F132" s="2"/>
      <c r="G132" s="2"/>
      <c r="H132" s="74">
        <f>SUM(E132+G132)/2</f>
        <v>0</v>
      </c>
      <c r="I132" s="74">
        <f>C132+H132</f>
        <v>3817113.9477488366</v>
      </c>
      <c r="J132" s="75">
        <v>0.2</v>
      </c>
      <c r="K132" s="2"/>
      <c r="L132" s="2"/>
      <c r="M132" s="39">
        <f t="shared" si="18"/>
        <v>763422.78954976739</v>
      </c>
      <c r="N132" s="39">
        <f t="shared" ref="N132:N145" si="19">H132+I132-M132</f>
        <v>3053691.1581990691</v>
      </c>
      <c r="T132" s="30"/>
      <c r="U132" s="30"/>
    </row>
    <row r="133" spans="1:22" x14ac:dyDescent="0.25">
      <c r="A133" s="56">
        <v>8</v>
      </c>
      <c r="B133" s="56" t="s">
        <v>62</v>
      </c>
      <c r="C133" s="54">
        <v>0</v>
      </c>
      <c r="D133" s="29">
        <v>0</v>
      </c>
      <c r="E133" s="39">
        <f>Q133-O133</f>
        <v>607823.92000000132</v>
      </c>
      <c r="F133" s="2"/>
      <c r="G133" s="2"/>
      <c r="H133" s="39"/>
      <c r="I133" s="74">
        <f>C133+E133+G133</f>
        <v>607823.92000000132</v>
      </c>
      <c r="J133" s="75">
        <f>J132*1.5</f>
        <v>0.30000000000000004</v>
      </c>
      <c r="K133" s="2"/>
      <c r="L133" s="2"/>
      <c r="M133" s="39">
        <f t="shared" si="18"/>
        <v>182347.17600000041</v>
      </c>
      <c r="N133" s="39">
        <f t="shared" si="19"/>
        <v>425476.74400000088</v>
      </c>
      <c r="O133" s="42">
        <v>220922.32</v>
      </c>
      <c r="P133" s="25">
        <f>E133+O133</f>
        <v>828746.24000000139</v>
      </c>
      <c r="Q133" s="25">
        <v>828746.24000000127</v>
      </c>
      <c r="R133" s="48" t="s">
        <v>0</v>
      </c>
      <c r="T133" s="30"/>
      <c r="U133" s="30">
        <v>890393.24000000127</v>
      </c>
    </row>
    <row r="134" spans="1:22" x14ac:dyDescent="0.25">
      <c r="A134" s="3">
        <v>10</v>
      </c>
      <c r="B134" s="3" t="s">
        <v>9</v>
      </c>
      <c r="C134" s="54">
        <f>N103+N104</f>
        <v>2306582.403756279</v>
      </c>
      <c r="D134" s="29">
        <v>0</v>
      </c>
      <c r="E134" s="39"/>
      <c r="F134" s="2"/>
      <c r="G134" s="2">
        <v>0</v>
      </c>
      <c r="H134" s="39">
        <v>0</v>
      </c>
      <c r="I134" s="74">
        <f>C134+H134+G134</f>
        <v>2306582.403756279</v>
      </c>
      <c r="J134" s="75">
        <v>0.3</v>
      </c>
      <c r="K134" s="2"/>
      <c r="L134" s="2"/>
      <c r="M134" s="39">
        <f t="shared" si="18"/>
        <v>691974.72112688364</v>
      </c>
      <c r="N134" s="39">
        <f t="shared" si="19"/>
        <v>1614607.6826293953</v>
      </c>
      <c r="T134" s="30"/>
      <c r="U134" s="30"/>
    </row>
    <row r="135" spans="1:22" x14ac:dyDescent="0.25">
      <c r="A135" s="3">
        <v>10</v>
      </c>
      <c r="B135" s="3" t="s">
        <v>89</v>
      </c>
      <c r="C135" s="54">
        <v>0</v>
      </c>
      <c r="D135" s="29">
        <v>0</v>
      </c>
      <c r="E135" s="39">
        <f>Q135-O135</f>
        <v>1417679.1399999994</v>
      </c>
      <c r="F135" s="2"/>
      <c r="G135" s="2">
        <v>-49240</v>
      </c>
      <c r="H135" s="39"/>
      <c r="I135" s="74">
        <f>C135+E135+G135</f>
        <v>1368439.1399999994</v>
      </c>
      <c r="J135" s="75">
        <f>J134*1.5</f>
        <v>0.44999999999999996</v>
      </c>
      <c r="K135" s="2"/>
      <c r="L135" s="2"/>
      <c r="M135" s="39">
        <f t="shared" si="18"/>
        <v>615797.61299999966</v>
      </c>
      <c r="N135" s="39">
        <f>H135+I135-M135</f>
        <v>752641.52699999977</v>
      </c>
      <c r="O135" s="42">
        <v>61039.76</v>
      </c>
      <c r="P135" s="25">
        <f>E135+O135</f>
        <v>1478718.8999999994</v>
      </c>
      <c r="Q135" s="25">
        <v>1478718.8999999994</v>
      </c>
      <c r="T135" s="30"/>
      <c r="U135" s="30">
        <v>1478718.8999999994</v>
      </c>
    </row>
    <row r="136" spans="1:22" x14ac:dyDescent="0.25">
      <c r="A136" s="56">
        <v>10.1</v>
      </c>
      <c r="B136" s="3" t="s">
        <v>88</v>
      </c>
      <c r="C136" s="54">
        <f>N105</f>
        <v>402.50200582950572</v>
      </c>
      <c r="D136" s="29">
        <v>0</v>
      </c>
      <c r="E136" s="39"/>
      <c r="F136" s="2"/>
      <c r="G136" s="2"/>
      <c r="H136" s="39">
        <f>SUM(D136+G136)/2</f>
        <v>0</v>
      </c>
      <c r="I136" s="74">
        <f>C136+H136</f>
        <v>402.50200582950572</v>
      </c>
      <c r="J136" s="75">
        <v>0.3</v>
      </c>
      <c r="K136" s="2"/>
      <c r="L136" s="2"/>
      <c r="M136" s="39">
        <f t="shared" si="18"/>
        <v>120.75060174885171</v>
      </c>
      <c r="N136" s="39">
        <f t="shared" si="19"/>
        <v>281.75140408065403</v>
      </c>
      <c r="T136" s="30"/>
      <c r="U136" s="30"/>
    </row>
    <row r="137" spans="1:22" x14ac:dyDescent="0.25">
      <c r="A137" s="56">
        <v>10.1</v>
      </c>
      <c r="B137" s="3" t="s">
        <v>87</v>
      </c>
      <c r="C137" s="54">
        <f>N106</f>
        <v>403.2308460392469</v>
      </c>
      <c r="D137" s="29">
        <v>0</v>
      </c>
      <c r="E137" s="39"/>
      <c r="F137" s="2"/>
      <c r="G137" s="2"/>
      <c r="H137" s="39">
        <f>SUM(D137+G137)/2</f>
        <v>0</v>
      </c>
      <c r="I137" s="74">
        <f>C137+H137</f>
        <v>403.2308460392469</v>
      </c>
      <c r="J137" s="75">
        <v>0.3</v>
      </c>
      <c r="K137" s="2"/>
      <c r="L137" s="2"/>
      <c r="M137" s="39">
        <f t="shared" si="18"/>
        <v>120.96925381177407</v>
      </c>
      <c r="N137" s="39">
        <f t="shared" si="19"/>
        <v>282.26159222747282</v>
      </c>
      <c r="T137" s="30"/>
      <c r="U137" s="30"/>
    </row>
    <row r="138" spans="1:22" x14ac:dyDescent="0.25">
      <c r="A138" s="56">
        <v>10.1</v>
      </c>
      <c r="B138" s="3" t="s">
        <v>86</v>
      </c>
      <c r="C138" s="54">
        <f>N107</f>
        <v>583.3758512135812</v>
      </c>
      <c r="D138" s="29">
        <v>0</v>
      </c>
      <c r="E138" s="39"/>
      <c r="F138" s="2"/>
      <c r="G138" s="2"/>
      <c r="H138" s="39">
        <f>SUM(D138+G138)/2</f>
        <v>0</v>
      </c>
      <c r="I138" s="74">
        <f>C138+H138</f>
        <v>583.3758512135812</v>
      </c>
      <c r="J138" s="75">
        <v>0.3</v>
      </c>
      <c r="K138" s="2"/>
      <c r="L138" s="2"/>
      <c r="M138" s="39">
        <f t="shared" si="18"/>
        <v>175.01275536407437</v>
      </c>
      <c r="N138" s="39">
        <f t="shared" si="19"/>
        <v>408.36309584950686</v>
      </c>
      <c r="T138" s="30"/>
      <c r="U138" s="30"/>
    </row>
    <row r="139" spans="1:22" x14ac:dyDescent="0.25">
      <c r="A139" s="56">
        <v>10.1</v>
      </c>
      <c r="B139" s="3" t="s">
        <v>85</v>
      </c>
      <c r="C139" s="54">
        <f>N108</f>
        <v>833.34490537033184</v>
      </c>
      <c r="D139" s="29">
        <v>0</v>
      </c>
      <c r="E139" s="39"/>
      <c r="F139" s="2"/>
      <c r="G139" s="2"/>
      <c r="H139" s="39">
        <f>SUM(D139+G139)/2</f>
        <v>0</v>
      </c>
      <c r="I139" s="74">
        <f>C139+H139</f>
        <v>833.34490537033184</v>
      </c>
      <c r="J139" s="75">
        <v>0.3</v>
      </c>
      <c r="K139" s="2"/>
      <c r="L139" s="2"/>
      <c r="M139" s="39">
        <f t="shared" si="18"/>
        <v>250.00347161109954</v>
      </c>
      <c r="N139" s="39">
        <f t="shared" si="19"/>
        <v>583.34143375923236</v>
      </c>
      <c r="T139" s="30"/>
      <c r="U139" s="30"/>
    </row>
    <row r="140" spans="1:22" x14ac:dyDescent="0.25">
      <c r="A140" s="56">
        <v>12</v>
      </c>
      <c r="B140" s="57" t="s">
        <v>84</v>
      </c>
      <c r="C140" s="54">
        <f>N109+N110</f>
        <v>0</v>
      </c>
      <c r="D140" s="67">
        <v>0</v>
      </c>
      <c r="E140" s="29"/>
      <c r="F140" s="2"/>
      <c r="G140" s="2"/>
      <c r="H140" s="74">
        <f>SUM(E140+G140)/2</f>
        <v>0</v>
      </c>
      <c r="I140" s="74">
        <f>C140+H140</f>
        <v>0</v>
      </c>
      <c r="J140" s="75">
        <v>1</v>
      </c>
      <c r="K140" s="2"/>
      <c r="L140" s="2"/>
      <c r="M140" s="39">
        <f t="shared" si="18"/>
        <v>0</v>
      </c>
      <c r="N140" s="39">
        <f t="shared" si="19"/>
        <v>0</v>
      </c>
      <c r="T140" s="30"/>
      <c r="U140" s="30"/>
    </row>
    <row r="141" spans="1:22" x14ac:dyDescent="0.25">
      <c r="A141" s="56">
        <v>12</v>
      </c>
      <c r="B141" s="57" t="s">
        <v>83</v>
      </c>
      <c r="C141" s="54">
        <v>0</v>
      </c>
      <c r="D141" s="29">
        <v>0</v>
      </c>
      <c r="E141" s="39">
        <f>Q141-O141</f>
        <v>2270712.1800000016</v>
      </c>
      <c r="F141" s="2"/>
      <c r="G141" s="2"/>
      <c r="H141" s="74"/>
      <c r="I141" s="74">
        <f>C141+E141+G141</f>
        <v>2270712.1800000016</v>
      </c>
      <c r="J141" s="75">
        <f>J140</f>
        <v>1</v>
      </c>
      <c r="K141" s="2"/>
      <c r="L141" s="2"/>
      <c r="M141" s="39">
        <f t="shared" si="18"/>
        <v>2270712.1800000016</v>
      </c>
      <c r="N141" s="39">
        <f t="shared" si="19"/>
        <v>0</v>
      </c>
      <c r="P141" s="25">
        <f>E141+O141</f>
        <v>2270712.1800000016</v>
      </c>
      <c r="Q141" s="25">
        <v>2270712.1800000016</v>
      </c>
      <c r="R141" s="48" t="s">
        <v>0</v>
      </c>
      <c r="T141" s="30"/>
      <c r="U141" s="49">
        <v>2302830.1800000016</v>
      </c>
      <c r="V141" s="4">
        <f>U141-Q141</f>
        <v>32118</v>
      </c>
    </row>
    <row r="142" spans="1:22" x14ac:dyDescent="0.25">
      <c r="A142" s="56">
        <v>13</v>
      </c>
      <c r="B142" s="57" t="s">
        <v>82</v>
      </c>
      <c r="C142" s="54">
        <f>N111</f>
        <v>92185.72314956662</v>
      </c>
      <c r="D142" s="29">
        <v>0</v>
      </c>
      <c r="E142" s="39"/>
      <c r="F142" s="2"/>
      <c r="G142" s="2"/>
      <c r="H142" s="74">
        <v>0</v>
      </c>
      <c r="I142" s="74">
        <f>C142+D142</f>
        <v>92185.72314956662</v>
      </c>
      <c r="J142" s="75">
        <v>0</v>
      </c>
      <c r="K142" s="2"/>
      <c r="L142" s="77"/>
      <c r="M142" s="74">
        <v>62250</v>
      </c>
      <c r="N142" s="39">
        <f t="shared" si="19"/>
        <v>29935.72314956662</v>
      </c>
      <c r="T142" s="30"/>
      <c r="U142" s="30"/>
    </row>
    <row r="143" spans="1:22" x14ac:dyDescent="0.25">
      <c r="A143" s="56">
        <v>42</v>
      </c>
      <c r="B143" s="56" t="s">
        <v>81</v>
      </c>
      <c r="C143" s="54">
        <f>N112</f>
        <v>1685.8740039638226</v>
      </c>
      <c r="D143" s="29">
        <v>0</v>
      </c>
      <c r="E143" s="39"/>
      <c r="F143" s="2"/>
      <c r="G143" s="2"/>
      <c r="H143" s="74">
        <f>SUM(D143+G143)/2</f>
        <v>0</v>
      </c>
      <c r="I143" s="74">
        <f>C143+H143</f>
        <v>1685.8740039638226</v>
      </c>
      <c r="J143" s="75">
        <v>0.12</v>
      </c>
      <c r="K143" s="2"/>
      <c r="L143" s="2"/>
      <c r="M143" s="39">
        <f t="shared" ref="M143:M149" si="20">I143*J143</f>
        <v>202.30488047565871</v>
      </c>
      <c r="N143" s="39">
        <f t="shared" si="19"/>
        <v>1483.5691234881638</v>
      </c>
      <c r="T143" s="30"/>
      <c r="U143" s="30"/>
    </row>
    <row r="144" spans="1:22" x14ac:dyDescent="0.25">
      <c r="A144" s="3">
        <v>45</v>
      </c>
      <c r="B144" s="3" t="s">
        <v>80</v>
      </c>
      <c r="C144" s="54">
        <f>N113</f>
        <v>189.95561622863073</v>
      </c>
      <c r="D144" s="78">
        <v>0</v>
      </c>
      <c r="E144" s="39"/>
      <c r="F144" s="2"/>
      <c r="G144" s="2"/>
      <c r="H144" s="74">
        <f>SUM(D144+G144)/2</f>
        <v>0</v>
      </c>
      <c r="I144" s="74">
        <f>C144+H144</f>
        <v>189.95561622863073</v>
      </c>
      <c r="J144" s="75">
        <v>0.45</v>
      </c>
      <c r="K144" s="2"/>
      <c r="L144" s="2"/>
      <c r="M144" s="39">
        <f t="shared" si="20"/>
        <v>85.480027302883826</v>
      </c>
      <c r="N144" s="39">
        <f t="shared" si="19"/>
        <v>104.47558892574691</v>
      </c>
      <c r="T144" s="30"/>
      <c r="U144" s="30"/>
    </row>
    <row r="145" spans="1:21" ht="15.75" x14ac:dyDescent="0.25">
      <c r="A145" s="56">
        <v>47</v>
      </c>
      <c r="B145" s="56" t="s">
        <v>79</v>
      </c>
      <c r="C145" s="54">
        <f>N114+N115</f>
        <v>131350718.6489808</v>
      </c>
      <c r="D145" s="67">
        <v>0</v>
      </c>
      <c r="E145" s="29"/>
      <c r="F145" s="2">
        <v>0</v>
      </c>
      <c r="G145" s="67">
        <v>0</v>
      </c>
      <c r="H145" s="39">
        <v>0</v>
      </c>
      <c r="I145" s="74">
        <f>C145+H145+G145</f>
        <v>131350718.6489808</v>
      </c>
      <c r="J145" s="75">
        <v>0.08</v>
      </c>
      <c r="K145" s="2"/>
      <c r="L145" s="2"/>
      <c r="M145" s="39">
        <f t="shared" si="20"/>
        <v>10508057.491918463</v>
      </c>
      <c r="N145" s="39">
        <f t="shared" si="19"/>
        <v>120842661.15706234</v>
      </c>
      <c r="T145" s="30"/>
      <c r="U145" s="30"/>
    </row>
    <row r="146" spans="1:21" x14ac:dyDescent="0.25">
      <c r="A146" s="56">
        <v>47</v>
      </c>
      <c r="B146" s="56" t="s">
        <v>78</v>
      </c>
      <c r="C146" s="54">
        <v>0</v>
      </c>
      <c r="D146" s="29">
        <v>0</v>
      </c>
      <c r="E146" s="39">
        <f>Q146-O146</f>
        <v>19482707.730530061</v>
      </c>
      <c r="F146" s="2"/>
      <c r="G146" s="2">
        <v>-134542</v>
      </c>
      <c r="H146" s="74">
        <v>0</v>
      </c>
      <c r="I146" s="74">
        <f>C146+E146+G146</f>
        <v>19348165.730530061</v>
      </c>
      <c r="J146" s="75">
        <f>J145*1.5</f>
        <v>0.12</v>
      </c>
      <c r="K146" s="2"/>
      <c r="L146" s="2"/>
      <c r="M146" s="39">
        <f t="shared" si="20"/>
        <v>2321779.887663607</v>
      </c>
      <c r="N146" s="39">
        <f>H146+I146-M146</f>
        <v>17026385.842866454</v>
      </c>
      <c r="O146" s="42">
        <v>12964766.439999999</v>
      </c>
      <c r="P146" s="25">
        <f>E146+O146</f>
        <v>32447474.170530058</v>
      </c>
      <c r="Q146" s="25">
        <v>32447474.170530062</v>
      </c>
      <c r="R146" s="48" t="s">
        <v>0</v>
      </c>
      <c r="T146" s="30"/>
      <c r="U146" s="30">
        <v>32867541.170530062</v>
      </c>
    </row>
    <row r="147" spans="1:21" x14ac:dyDescent="0.25">
      <c r="A147" s="3">
        <v>50</v>
      </c>
      <c r="B147" s="3" t="s">
        <v>77</v>
      </c>
      <c r="C147" s="54">
        <f>N116+N117</f>
        <v>494368.69619393913</v>
      </c>
      <c r="D147" s="29">
        <v>0</v>
      </c>
      <c r="E147" s="39"/>
      <c r="F147" s="2">
        <v>0</v>
      </c>
      <c r="G147" s="2">
        <v>0</v>
      </c>
      <c r="H147" s="2">
        <v>0</v>
      </c>
      <c r="I147" s="74">
        <f>C147+H147+G147</f>
        <v>494368.69619393913</v>
      </c>
      <c r="J147" s="75">
        <v>0.55000000000000004</v>
      </c>
      <c r="K147" s="2"/>
      <c r="L147" s="2"/>
      <c r="M147" s="39">
        <f t="shared" si="20"/>
        <v>271902.78290666657</v>
      </c>
      <c r="N147" s="39">
        <f>H147+I147-M147</f>
        <v>222465.91328727256</v>
      </c>
      <c r="T147" s="30"/>
      <c r="U147" s="30"/>
    </row>
    <row r="148" spans="1:21" x14ac:dyDescent="0.25">
      <c r="A148" s="58">
        <v>50</v>
      </c>
      <c r="B148" s="3" t="s">
        <v>76</v>
      </c>
      <c r="C148" s="54">
        <v>0</v>
      </c>
      <c r="D148" s="29">
        <v>0</v>
      </c>
      <c r="E148" s="39">
        <f>Q148-O148</f>
        <v>1984025.4100000006</v>
      </c>
      <c r="F148" s="5"/>
      <c r="G148" s="5">
        <v>0</v>
      </c>
      <c r="H148" s="39"/>
      <c r="I148" s="74">
        <f>C148+E148+G148</f>
        <v>1984025.4100000006</v>
      </c>
      <c r="J148" s="75">
        <f>J147*1.5</f>
        <v>0.82500000000000007</v>
      </c>
      <c r="K148" s="5"/>
      <c r="L148" s="5"/>
      <c r="M148" s="39">
        <f t="shared" si="20"/>
        <v>1636820.9632500007</v>
      </c>
      <c r="N148" s="39">
        <f>H148+I148-M148</f>
        <v>347204.44674999989</v>
      </c>
      <c r="O148" s="42">
        <v>0</v>
      </c>
      <c r="P148" s="25">
        <f>E148+O148</f>
        <v>1984025.4100000006</v>
      </c>
      <c r="Q148" s="25">
        <v>1984025.4100000006</v>
      </c>
      <c r="R148" s="48" t="s">
        <v>0</v>
      </c>
      <c r="T148" s="30"/>
      <c r="U148" s="30">
        <v>1990622.4100000006</v>
      </c>
    </row>
    <row r="149" spans="1:21" x14ac:dyDescent="0.25">
      <c r="A149" s="59">
        <v>43.2</v>
      </c>
      <c r="B149" s="79" t="s">
        <v>75</v>
      </c>
      <c r="C149" s="54">
        <f>N118</f>
        <v>5572.7932614624442</v>
      </c>
      <c r="D149" s="29">
        <v>0</v>
      </c>
      <c r="E149" s="39"/>
      <c r="F149" s="5"/>
      <c r="G149" s="5"/>
      <c r="H149" s="39">
        <f>SUM(D149+G149)/2</f>
        <v>0</v>
      </c>
      <c r="I149" s="74">
        <f>C149+H149</f>
        <v>5572.7932614624442</v>
      </c>
      <c r="J149" s="75">
        <v>0.5</v>
      </c>
      <c r="K149" s="5"/>
      <c r="L149" s="5"/>
      <c r="M149" s="39">
        <f t="shared" si="20"/>
        <v>2786.3966307312221</v>
      </c>
      <c r="N149" s="39">
        <f>H149+I149-M149</f>
        <v>2786.3966307312221</v>
      </c>
      <c r="R149" s="48"/>
      <c r="T149" s="30"/>
      <c r="U149" s="30"/>
    </row>
    <row r="150" spans="1:21" x14ac:dyDescent="0.25">
      <c r="A150" s="59">
        <v>43.2</v>
      </c>
      <c r="B150" s="79" t="s">
        <v>75</v>
      </c>
      <c r="C150" s="54">
        <v>0</v>
      </c>
      <c r="D150" s="2">
        <v>0</v>
      </c>
      <c r="E150" s="39">
        <v>0</v>
      </c>
      <c r="F150" s="5"/>
      <c r="G150" s="5"/>
      <c r="H150" s="39"/>
      <c r="I150" s="74"/>
      <c r="J150" s="75">
        <v>1</v>
      </c>
      <c r="K150" s="5"/>
      <c r="L150" s="5"/>
      <c r="M150" s="39"/>
      <c r="N150" s="39"/>
      <c r="T150" s="30"/>
      <c r="U150" s="30"/>
    </row>
    <row r="151" spans="1:21" x14ac:dyDescent="0.25">
      <c r="A151" s="59">
        <v>14.1</v>
      </c>
      <c r="B151" s="79" t="s">
        <v>74</v>
      </c>
      <c r="C151" s="54">
        <f>N120</f>
        <v>3337523.6966472664</v>
      </c>
      <c r="D151" s="67">
        <v>0</v>
      </c>
      <c r="E151" s="39"/>
      <c r="F151" s="5"/>
      <c r="G151" s="5"/>
      <c r="H151" s="39"/>
      <c r="I151" s="74">
        <f>C151</f>
        <v>3337523.6966472664</v>
      </c>
      <c r="J151" s="75">
        <v>7.0000000000000007E-2</v>
      </c>
      <c r="K151" s="5"/>
      <c r="L151" s="5"/>
      <c r="M151" s="39">
        <f>I151*J151</f>
        <v>233626.65876530868</v>
      </c>
      <c r="N151" s="39">
        <f>H151+I151-M151</f>
        <v>3103897.0378819578</v>
      </c>
      <c r="T151" s="30"/>
      <c r="U151" s="30"/>
    </row>
    <row r="152" spans="1:21" x14ac:dyDescent="0.25">
      <c r="A152" s="59">
        <v>14.1</v>
      </c>
      <c r="B152" s="79" t="s">
        <v>73</v>
      </c>
      <c r="C152" s="54">
        <f>N121+N122</f>
        <v>1237375.5906258312</v>
      </c>
      <c r="D152" s="29">
        <v>0</v>
      </c>
      <c r="E152" s="39"/>
      <c r="F152" s="5"/>
      <c r="G152" s="5"/>
      <c r="H152" s="39"/>
      <c r="I152" s="74">
        <f>C152+E152+G152</f>
        <v>1237375.5906258312</v>
      </c>
      <c r="J152" s="75">
        <v>0.05</v>
      </c>
      <c r="K152" s="5"/>
      <c r="L152" s="5"/>
      <c r="M152" s="39">
        <f>I152*J152</f>
        <v>61868.779531291562</v>
      </c>
      <c r="N152" s="39">
        <f>H152+I152-M152</f>
        <v>1175506.8110945397</v>
      </c>
      <c r="T152" s="30"/>
      <c r="U152" s="30"/>
    </row>
    <row r="153" spans="1:21" x14ac:dyDescent="0.25">
      <c r="A153" s="59">
        <v>14.1</v>
      </c>
      <c r="B153" s="79" t="s">
        <v>96</v>
      </c>
      <c r="C153" s="54">
        <v>0</v>
      </c>
      <c r="D153" s="29"/>
      <c r="E153" s="39">
        <f>Q153-O153</f>
        <v>3841402</v>
      </c>
      <c r="F153" s="5"/>
      <c r="G153" s="5"/>
      <c r="H153" s="39"/>
      <c r="I153" s="74">
        <f>C153+E153+G153</f>
        <v>3841402</v>
      </c>
      <c r="J153" s="75">
        <f>J152*1.5</f>
        <v>7.5000000000000011E-2</v>
      </c>
      <c r="K153" s="5"/>
      <c r="L153" s="5"/>
      <c r="M153" s="39">
        <f>I153*J153</f>
        <v>288105.15000000002</v>
      </c>
      <c r="N153" s="39">
        <f>H153+I153-M153</f>
        <v>3553296.85</v>
      </c>
      <c r="O153" s="42">
        <v>0</v>
      </c>
      <c r="P153" s="25">
        <v>3841402</v>
      </c>
      <c r="Q153" s="25">
        <v>3841402</v>
      </c>
      <c r="T153" s="30"/>
      <c r="U153" s="30">
        <v>3841402</v>
      </c>
    </row>
    <row r="154" spans="1:21" ht="15.75" x14ac:dyDescent="0.25">
      <c r="A154" s="60">
        <v>95</v>
      </c>
      <c r="B154" s="60" t="s">
        <v>10</v>
      </c>
      <c r="C154" s="54">
        <v>0</v>
      </c>
      <c r="D154" s="29">
        <v>0</v>
      </c>
      <c r="E154" s="39">
        <v>0</v>
      </c>
      <c r="F154" s="2">
        <v>0</v>
      </c>
      <c r="G154" s="81"/>
      <c r="H154" s="39">
        <v>0</v>
      </c>
      <c r="I154" s="39">
        <f>C154+D154+E154+F154</f>
        <v>0</v>
      </c>
      <c r="J154" s="75">
        <v>0</v>
      </c>
      <c r="K154" s="2"/>
      <c r="L154" s="2"/>
      <c r="M154" s="39">
        <f>I154*J154</f>
        <v>0</v>
      </c>
      <c r="N154" s="39">
        <f>H154+I154-M154</f>
        <v>0</v>
      </c>
      <c r="Q154" s="25">
        <f>E154</f>
        <v>0</v>
      </c>
    </row>
    <row r="155" spans="1:21" ht="15.75" thickBot="1" x14ac:dyDescent="0.3">
      <c r="A155" s="61" t="s">
        <v>11</v>
      </c>
      <c r="B155" s="62"/>
      <c r="C155" s="63">
        <f t="shared" ref="C155:I155" si="21">SUM(C129:C154)</f>
        <v>225917460.74501064</v>
      </c>
      <c r="D155" s="64">
        <f t="shared" si="21"/>
        <v>0</v>
      </c>
      <c r="E155" s="64">
        <f t="shared" si="21"/>
        <v>30114926.300530065</v>
      </c>
      <c r="F155" s="23">
        <f t="shared" si="21"/>
        <v>0</v>
      </c>
      <c r="G155" s="27">
        <f t="shared" si="21"/>
        <v>-183782</v>
      </c>
      <c r="H155" s="23">
        <f t="shared" si="21"/>
        <v>0</v>
      </c>
      <c r="I155" s="63">
        <f t="shared" si="21"/>
        <v>255848605.04554072</v>
      </c>
      <c r="J155" s="63" t="s">
        <v>0</v>
      </c>
      <c r="K155" s="63">
        <f>SUM(K129:K154)</f>
        <v>0</v>
      </c>
      <c r="L155" s="63">
        <f>SUM(L129:L154)</f>
        <v>0</v>
      </c>
      <c r="M155" s="63">
        <f>SUM(M129:M154)</f>
        <v>23480643.505918112</v>
      </c>
      <c r="N155" s="63">
        <f>SUM(N129:N154)</f>
        <v>232367961.53962266</v>
      </c>
      <c r="O155" s="42">
        <f>SUM(O131:O154)</f>
        <v>13445724.029999999</v>
      </c>
      <c r="P155" s="25">
        <f>SUM(P131:P154)</f>
        <v>43560650.330530062</v>
      </c>
      <c r="Q155" s="25">
        <f>SUM(Q131:Q154)</f>
        <v>43560650.33053007</v>
      </c>
    </row>
    <row r="156" spans="1:21" ht="15.75" thickTop="1" x14ac:dyDescent="0.25">
      <c r="M156" s="67" t="s">
        <v>0</v>
      </c>
    </row>
    <row r="157" spans="1:21" x14ac:dyDescent="0.25">
      <c r="A157" s="68">
        <v>2022</v>
      </c>
      <c r="B157" s="68" t="s">
        <v>107</v>
      </c>
      <c r="M157" s="67" t="s">
        <v>0</v>
      </c>
      <c r="N157" s="42" t="s">
        <v>0</v>
      </c>
      <c r="O157" s="42" t="s">
        <v>0</v>
      </c>
    </row>
    <row r="158" spans="1:21" ht="43.5" customHeight="1" x14ac:dyDescent="0.25">
      <c r="A158" s="53" t="s">
        <v>2</v>
      </c>
      <c r="B158" s="53" t="s">
        <v>3</v>
      </c>
      <c r="C158" s="53" t="s">
        <v>110</v>
      </c>
      <c r="D158" s="69" t="s">
        <v>0</v>
      </c>
      <c r="E158" s="69" t="s">
        <v>111</v>
      </c>
      <c r="F158" s="69" t="s">
        <v>4</v>
      </c>
      <c r="G158" s="69" t="s">
        <v>12</v>
      </c>
      <c r="H158" s="69" t="s">
        <v>5</v>
      </c>
      <c r="I158" s="69" t="s">
        <v>6</v>
      </c>
      <c r="J158" s="69" t="s">
        <v>57</v>
      </c>
      <c r="K158" s="69" t="s">
        <v>58</v>
      </c>
      <c r="L158" s="69" t="s">
        <v>7</v>
      </c>
      <c r="M158" s="69" t="s">
        <v>61</v>
      </c>
      <c r="N158" s="69" t="s">
        <v>8</v>
      </c>
      <c r="O158" s="85" t="s">
        <v>108</v>
      </c>
      <c r="P158" s="41" t="s">
        <v>11</v>
      </c>
      <c r="Q158" s="41" t="s">
        <v>137</v>
      </c>
    </row>
    <row r="159" spans="1:21" x14ac:dyDescent="0.25">
      <c r="A159" s="53"/>
      <c r="B159" s="53"/>
      <c r="C159" s="70"/>
      <c r="D159" s="28"/>
      <c r="E159" s="39"/>
      <c r="F159" s="1"/>
      <c r="G159" s="1"/>
      <c r="H159" s="1"/>
      <c r="I159" s="71"/>
      <c r="J159" s="72"/>
      <c r="K159" s="1"/>
      <c r="L159" s="1"/>
      <c r="M159" s="73"/>
      <c r="N159" s="73"/>
    </row>
    <row r="160" spans="1:21" x14ac:dyDescent="0.25">
      <c r="A160" s="3">
        <v>1</v>
      </c>
      <c r="B160" s="3" t="s">
        <v>94</v>
      </c>
      <c r="C160" s="54">
        <f>N129</f>
        <v>70753473.403200284</v>
      </c>
      <c r="D160" s="29">
        <v>0</v>
      </c>
      <c r="E160" s="39"/>
      <c r="F160" s="2"/>
      <c r="G160" s="2"/>
      <c r="H160" s="39">
        <f>SUM(D160+G160)/2</f>
        <v>0</v>
      </c>
      <c r="I160" s="74">
        <f>C160+H160</f>
        <v>70753473.403200284</v>
      </c>
      <c r="J160" s="75">
        <v>0.04</v>
      </c>
      <c r="K160" s="2"/>
      <c r="L160" s="2"/>
      <c r="M160" s="39">
        <f>I160*J160</f>
        <v>2830138.9361280114</v>
      </c>
      <c r="N160" s="39">
        <f>H160+I160-M160</f>
        <v>67923334.467072278</v>
      </c>
    </row>
    <row r="161" spans="1:18" x14ac:dyDescent="0.25">
      <c r="A161" s="55" t="s">
        <v>92</v>
      </c>
      <c r="B161" s="3" t="s">
        <v>93</v>
      </c>
      <c r="C161" s="54">
        <f>N130+N131</f>
        <v>9460787.0836326871</v>
      </c>
      <c r="D161" s="29">
        <v>0</v>
      </c>
      <c r="E161" s="39">
        <v>0</v>
      </c>
      <c r="F161" s="2" t="s">
        <v>0</v>
      </c>
      <c r="G161" s="2"/>
      <c r="H161" s="74">
        <f>SUM(D161+G161)/2</f>
        <v>0</v>
      </c>
      <c r="I161" s="74">
        <f>C161+H161</f>
        <v>9460787.0836326871</v>
      </c>
      <c r="J161" s="75">
        <v>0.06</v>
      </c>
      <c r="K161" s="2"/>
      <c r="L161" s="2"/>
      <c r="M161" s="39">
        <f t="shared" ref="M161:M172" si="22">I161*J161</f>
        <v>567647.22501796123</v>
      </c>
      <c r="N161" s="39">
        <f>H161+I161-M161</f>
        <v>8893139.858614726</v>
      </c>
    </row>
    <row r="162" spans="1:18" x14ac:dyDescent="0.25">
      <c r="A162" s="55" t="s">
        <v>92</v>
      </c>
      <c r="B162" s="3" t="s">
        <v>91</v>
      </c>
      <c r="C162" s="54">
        <v>0</v>
      </c>
      <c r="D162" s="29">
        <v>0</v>
      </c>
      <c r="E162" s="39">
        <f>Q162-O162</f>
        <v>3915251.9299999992</v>
      </c>
      <c r="F162" s="2"/>
      <c r="G162" s="2"/>
      <c r="H162" s="74">
        <f>SUM(D162+G162)/2</f>
        <v>0</v>
      </c>
      <c r="I162" s="74">
        <f>C162+E162+G162</f>
        <v>3915251.9299999992</v>
      </c>
      <c r="J162" s="75">
        <f>J161*1.5</f>
        <v>0.09</v>
      </c>
      <c r="K162" s="2"/>
      <c r="L162" s="2"/>
      <c r="M162" s="39">
        <f>I162*J162</f>
        <v>352372.67369999993</v>
      </c>
      <c r="N162" s="39">
        <f>H162+I162-M162</f>
        <v>3562879.2562999995</v>
      </c>
      <c r="O162" s="42">
        <v>1299182.4500000007</v>
      </c>
      <c r="P162" s="25">
        <f>E162+O162</f>
        <v>5214434.38</v>
      </c>
      <c r="Q162" s="25">
        <v>5214434.38</v>
      </c>
    </row>
    <row r="163" spans="1:18" x14ac:dyDescent="0.25">
      <c r="A163" s="56">
        <v>8</v>
      </c>
      <c r="B163" s="56" t="s">
        <v>90</v>
      </c>
      <c r="C163" s="54">
        <f>N132+N133</f>
        <v>3479167.90219907</v>
      </c>
      <c r="D163" s="67">
        <v>0</v>
      </c>
      <c r="E163" s="29"/>
      <c r="F163" s="2"/>
      <c r="G163" s="2"/>
      <c r="H163" s="74">
        <f>SUM(E163+G163)/2</f>
        <v>0</v>
      </c>
      <c r="I163" s="74">
        <f>C163+H163</f>
        <v>3479167.90219907</v>
      </c>
      <c r="J163" s="75">
        <v>0.2</v>
      </c>
      <c r="K163" s="2"/>
      <c r="L163" s="2"/>
      <c r="M163" s="39">
        <f>I163*J163</f>
        <v>695833.58043981402</v>
      </c>
      <c r="N163" s="39">
        <f>H163+I163-M163</f>
        <v>2783334.3217592561</v>
      </c>
    </row>
    <row r="164" spans="1:18" x14ac:dyDescent="0.25">
      <c r="A164" s="56">
        <v>8</v>
      </c>
      <c r="B164" s="56" t="s">
        <v>62</v>
      </c>
      <c r="C164" s="54">
        <v>0</v>
      </c>
      <c r="D164" s="29">
        <v>0</v>
      </c>
      <c r="E164" s="39">
        <f>Q164-O164</f>
        <v>1220704.3899999987</v>
      </c>
      <c r="F164" s="2"/>
      <c r="G164" s="2"/>
      <c r="H164" s="39"/>
      <c r="I164" s="74">
        <f>C164+E164+G164-1220704</f>
        <v>0.3899999987334013</v>
      </c>
      <c r="J164" s="75">
        <f>J163*1.5</f>
        <v>0.30000000000000004</v>
      </c>
      <c r="K164" s="2"/>
      <c r="L164" s="2"/>
      <c r="M164" s="39">
        <f>(I164*J164)+1220704</f>
        <v>1220704.1169999996</v>
      </c>
      <c r="N164" s="39">
        <f>I164*(1-J164)</f>
        <v>0.27299999911338091</v>
      </c>
      <c r="O164" s="42">
        <v>328488.09999999986</v>
      </c>
      <c r="P164" s="25">
        <f>E164+O164</f>
        <v>1549192.4899999986</v>
      </c>
      <c r="Q164" s="25">
        <v>1549192.4899999986</v>
      </c>
      <c r="R164" t="s">
        <v>129</v>
      </c>
    </row>
    <row r="165" spans="1:18" x14ac:dyDescent="0.25">
      <c r="A165" s="3">
        <v>10</v>
      </c>
      <c r="B165" s="3" t="s">
        <v>9</v>
      </c>
      <c r="C165" s="54">
        <f>N134+N135</f>
        <v>2367249.209629395</v>
      </c>
      <c r="D165" s="29">
        <v>0</v>
      </c>
      <c r="E165" s="39"/>
      <c r="F165" s="2"/>
      <c r="G165" s="2">
        <v>0</v>
      </c>
      <c r="H165" s="39">
        <v>0</v>
      </c>
      <c r="I165" s="74">
        <f>C165+H165+G165</f>
        <v>2367249.209629395</v>
      </c>
      <c r="J165" s="75">
        <v>0.3</v>
      </c>
      <c r="K165" s="2"/>
      <c r="L165" s="2"/>
      <c r="M165" s="39">
        <f t="shared" si="22"/>
        <v>710174.76288881851</v>
      </c>
      <c r="N165" s="39">
        <f t="shared" ref="N165:N176" si="23">H165+I165-M165</f>
        <v>1657074.4467405765</v>
      </c>
    </row>
    <row r="166" spans="1:18" x14ac:dyDescent="0.25">
      <c r="A166" s="3">
        <v>10</v>
      </c>
      <c r="B166" s="3" t="s">
        <v>89</v>
      </c>
      <c r="C166" s="54">
        <v>0</v>
      </c>
      <c r="D166" s="29">
        <v>0</v>
      </c>
      <c r="E166" s="39">
        <f>Q166-O166</f>
        <v>1776513.6399999997</v>
      </c>
      <c r="F166" s="2"/>
      <c r="G166" s="2">
        <v>-193124</v>
      </c>
      <c r="H166" s="39"/>
      <c r="I166" s="74">
        <f>C166+E166+G166</f>
        <v>1583389.6399999997</v>
      </c>
      <c r="J166" s="75">
        <f>J165*1.5</f>
        <v>0.44999999999999996</v>
      </c>
      <c r="K166" s="2"/>
      <c r="L166" s="2"/>
      <c r="M166" s="39">
        <f>I166*J166</f>
        <v>712525.33799999976</v>
      </c>
      <c r="N166" s="39">
        <f>H166+I166-M166</f>
        <v>870864.30199999991</v>
      </c>
      <c r="O166" s="42">
        <v>678741.41</v>
      </c>
      <c r="P166" s="25">
        <f>E166+O166</f>
        <v>2455255.0499999998</v>
      </c>
      <c r="Q166" s="25">
        <v>2455255.0499999998</v>
      </c>
      <c r="R166" t="s">
        <v>129</v>
      </c>
    </row>
    <row r="167" spans="1:18" x14ac:dyDescent="0.25">
      <c r="A167" s="56">
        <v>10.1</v>
      </c>
      <c r="B167" s="3" t="s">
        <v>88</v>
      </c>
      <c r="C167" s="54">
        <f>N136</f>
        <v>281.75140408065403</v>
      </c>
      <c r="D167" s="29">
        <v>0</v>
      </c>
      <c r="E167" s="39"/>
      <c r="F167" s="2"/>
      <c r="G167" s="2"/>
      <c r="H167" s="39">
        <f>SUM(D167+G167)/2</f>
        <v>0</v>
      </c>
      <c r="I167" s="74">
        <f>C167+H167</f>
        <v>281.75140408065403</v>
      </c>
      <c r="J167" s="75">
        <v>0.3</v>
      </c>
      <c r="K167" s="2"/>
      <c r="L167" s="2"/>
      <c r="M167" s="39">
        <f t="shared" si="22"/>
        <v>84.525421224196208</v>
      </c>
      <c r="N167" s="39">
        <f t="shared" si="23"/>
        <v>197.22598285645782</v>
      </c>
    </row>
    <row r="168" spans="1:18" x14ac:dyDescent="0.25">
      <c r="A168" s="56">
        <v>10.1</v>
      </c>
      <c r="B168" s="3" t="s">
        <v>87</v>
      </c>
      <c r="C168" s="54">
        <f>N137</f>
        <v>282.26159222747282</v>
      </c>
      <c r="D168" s="29">
        <v>0</v>
      </c>
      <c r="E168" s="39"/>
      <c r="F168" s="2"/>
      <c r="G168" s="2"/>
      <c r="H168" s="39">
        <f>SUM(D168+G168)/2</f>
        <v>0</v>
      </c>
      <c r="I168" s="74">
        <f>C168+H168</f>
        <v>282.26159222747282</v>
      </c>
      <c r="J168" s="75">
        <v>0.3</v>
      </c>
      <c r="K168" s="2"/>
      <c r="L168" s="2"/>
      <c r="M168" s="39">
        <f t="shared" si="22"/>
        <v>84.67847766824184</v>
      </c>
      <c r="N168" s="39">
        <f t="shared" si="23"/>
        <v>197.58311455923098</v>
      </c>
    </row>
    <row r="169" spans="1:18" x14ac:dyDescent="0.25">
      <c r="A169" s="56">
        <v>10.1</v>
      </c>
      <c r="B169" s="3" t="s">
        <v>86</v>
      </c>
      <c r="C169" s="54">
        <f>N138</f>
        <v>408.36309584950686</v>
      </c>
      <c r="D169" s="29">
        <v>0</v>
      </c>
      <c r="E169" s="39"/>
      <c r="F169" s="2"/>
      <c r="G169" s="2"/>
      <c r="H169" s="39">
        <f>SUM(D169+G169)/2</f>
        <v>0</v>
      </c>
      <c r="I169" s="74">
        <f>C169+H169</f>
        <v>408.36309584950686</v>
      </c>
      <c r="J169" s="75">
        <v>0.3</v>
      </c>
      <c r="K169" s="2"/>
      <c r="L169" s="2"/>
      <c r="M169" s="39">
        <f t="shared" si="22"/>
        <v>122.50892875485205</v>
      </c>
      <c r="N169" s="39">
        <f t="shared" si="23"/>
        <v>285.85416709465483</v>
      </c>
    </row>
    <row r="170" spans="1:18" x14ac:dyDescent="0.25">
      <c r="A170" s="56">
        <v>10.1</v>
      </c>
      <c r="B170" s="3" t="s">
        <v>85</v>
      </c>
      <c r="C170" s="54">
        <f>N139</f>
        <v>583.34143375923236</v>
      </c>
      <c r="D170" s="29">
        <v>0</v>
      </c>
      <c r="E170" s="39"/>
      <c r="F170" s="2"/>
      <c r="G170" s="2"/>
      <c r="H170" s="39">
        <f>SUM(D170+G170)/2</f>
        <v>0</v>
      </c>
      <c r="I170" s="74">
        <f>C170+H170</f>
        <v>583.34143375923236</v>
      </c>
      <c r="J170" s="75">
        <v>0.3</v>
      </c>
      <c r="K170" s="2"/>
      <c r="L170" s="2"/>
      <c r="M170" s="39">
        <f t="shared" si="22"/>
        <v>175.00243012776971</v>
      </c>
      <c r="N170" s="39">
        <f t="shared" si="23"/>
        <v>408.33900363146267</v>
      </c>
    </row>
    <row r="171" spans="1:18" x14ac:dyDescent="0.25">
      <c r="A171" s="56">
        <v>12</v>
      </c>
      <c r="B171" s="57" t="s">
        <v>84</v>
      </c>
      <c r="C171" s="54">
        <f>N140+N141</f>
        <v>0</v>
      </c>
      <c r="D171" s="67">
        <v>0</v>
      </c>
      <c r="E171" s="29"/>
      <c r="F171" s="2"/>
      <c r="G171" s="2"/>
      <c r="H171" s="74">
        <f>SUM(E171+G171)/2</f>
        <v>0</v>
      </c>
      <c r="I171" s="74">
        <f>C171+H171</f>
        <v>0</v>
      </c>
      <c r="J171" s="75">
        <v>1</v>
      </c>
      <c r="K171" s="2"/>
      <c r="L171" s="2"/>
      <c r="M171" s="39">
        <f t="shared" si="22"/>
        <v>0</v>
      </c>
      <c r="N171" s="39">
        <f t="shared" si="23"/>
        <v>0</v>
      </c>
    </row>
    <row r="172" spans="1:18" x14ac:dyDescent="0.25">
      <c r="A172" s="56">
        <v>12</v>
      </c>
      <c r="B172" s="57" t="s">
        <v>83</v>
      </c>
      <c r="C172" s="54">
        <v>0</v>
      </c>
      <c r="D172" s="29">
        <v>0</v>
      </c>
      <c r="E172" s="39">
        <f>Q172-O172</f>
        <v>1121831.71</v>
      </c>
      <c r="F172" s="2"/>
      <c r="G172" s="2"/>
      <c r="H172" s="74"/>
      <c r="I172" s="74">
        <f>C172+E172+G172</f>
        <v>1121831.71</v>
      </c>
      <c r="J172" s="75">
        <f>J171</f>
        <v>1</v>
      </c>
      <c r="K172" s="2"/>
      <c r="L172" s="2"/>
      <c r="M172" s="39">
        <f t="shared" si="22"/>
        <v>1121831.71</v>
      </c>
      <c r="N172" s="39">
        <f t="shared" si="23"/>
        <v>0</v>
      </c>
      <c r="O172" s="42">
        <v>655827.49</v>
      </c>
      <c r="P172" s="25">
        <f>E172+O172</f>
        <v>1777659.2</v>
      </c>
      <c r="Q172" s="25">
        <v>1777659.2</v>
      </c>
    </row>
    <row r="173" spans="1:18" x14ac:dyDescent="0.25">
      <c r="A173" s="56">
        <v>13</v>
      </c>
      <c r="B173" s="57" t="s">
        <v>82</v>
      </c>
      <c r="C173" s="54">
        <f>N142</f>
        <v>29935.72314956662</v>
      </c>
      <c r="D173" s="29">
        <v>0</v>
      </c>
      <c r="E173" s="39"/>
      <c r="F173" s="2"/>
      <c r="G173" s="2"/>
      <c r="H173" s="74">
        <v>0</v>
      </c>
      <c r="I173" s="74">
        <f>C173+D173</f>
        <v>29935.72314956662</v>
      </c>
      <c r="J173" s="75">
        <v>0</v>
      </c>
      <c r="K173" s="2"/>
      <c r="L173" s="77"/>
      <c r="M173" s="74">
        <v>29936</v>
      </c>
      <c r="N173" s="39">
        <f t="shared" si="23"/>
        <v>-0.27685043337987736</v>
      </c>
    </row>
    <row r="174" spans="1:18" x14ac:dyDescent="0.25">
      <c r="A174" s="56">
        <v>42</v>
      </c>
      <c r="B174" s="56" t="s">
        <v>81</v>
      </c>
      <c r="C174" s="54">
        <f>N143</f>
        <v>1483.5691234881638</v>
      </c>
      <c r="D174" s="29">
        <v>0</v>
      </c>
      <c r="E174" s="39"/>
      <c r="F174" s="2"/>
      <c r="G174" s="2"/>
      <c r="H174" s="74">
        <f>SUM(D174+G174)/2</f>
        <v>0</v>
      </c>
      <c r="I174" s="74">
        <f>C174+H174</f>
        <v>1483.5691234881638</v>
      </c>
      <c r="J174" s="75">
        <v>0.12</v>
      </c>
      <c r="K174" s="2"/>
      <c r="L174" s="2"/>
      <c r="M174" s="39">
        <f t="shared" ref="M174:M180" si="24">I174*J174</f>
        <v>178.02829481857964</v>
      </c>
      <c r="N174" s="39">
        <f t="shared" si="23"/>
        <v>1305.5408286695842</v>
      </c>
    </row>
    <row r="175" spans="1:18" x14ac:dyDescent="0.25">
      <c r="A175" s="3">
        <v>45</v>
      </c>
      <c r="B175" s="3" t="s">
        <v>80</v>
      </c>
      <c r="C175" s="54">
        <f>N144</f>
        <v>104.47558892574691</v>
      </c>
      <c r="D175" s="78">
        <v>0</v>
      </c>
      <c r="E175" s="39"/>
      <c r="F175" s="2"/>
      <c r="G175" s="2"/>
      <c r="H175" s="74">
        <f>SUM(D175+G175)/2</f>
        <v>0</v>
      </c>
      <c r="I175" s="74">
        <f>C175+H175</f>
        <v>104.47558892574691</v>
      </c>
      <c r="J175" s="75">
        <v>0.45</v>
      </c>
      <c r="K175" s="2"/>
      <c r="L175" s="2"/>
      <c r="M175" s="39">
        <f t="shared" si="24"/>
        <v>47.014015016586107</v>
      </c>
      <c r="N175" s="39">
        <f t="shared" si="23"/>
        <v>57.461573909160798</v>
      </c>
    </row>
    <row r="176" spans="1:18" ht="15.75" x14ac:dyDescent="0.25">
      <c r="A176" s="56">
        <v>47</v>
      </c>
      <c r="B176" s="56" t="s">
        <v>79</v>
      </c>
      <c r="C176" s="54">
        <f>N145+N146</f>
        <v>137869046.9999288</v>
      </c>
      <c r="D176" s="67">
        <v>0</v>
      </c>
      <c r="E176" s="29"/>
      <c r="F176" s="2">
        <v>0</v>
      </c>
      <c r="G176" s="67">
        <v>0</v>
      </c>
      <c r="H176" s="39">
        <v>0</v>
      </c>
      <c r="I176" s="74">
        <f>C176+H176+G176</f>
        <v>137869046.9999288</v>
      </c>
      <c r="J176" s="75">
        <v>0.08</v>
      </c>
      <c r="K176" s="2"/>
      <c r="L176" s="2"/>
      <c r="M176" s="39">
        <f t="shared" si="24"/>
        <v>11029523.759994304</v>
      </c>
      <c r="N176" s="39">
        <f t="shared" si="23"/>
        <v>126839523.2399345</v>
      </c>
    </row>
    <row r="177" spans="1:17" x14ac:dyDescent="0.25">
      <c r="A177" s="56">
        <v>47</v>
      </c>
      <c r="B177" s="56" t="s">
        <v>78</v>
      </c>
      <c r="C177" s="54">
        <v>0</v>
      </c>
      <c r="D177" s="29">
        <v>0</v>
      </c>
      <c r="E177" s="39">
        <f>Q177-O177</f>
        <v>57379204.446000017</v>
      </c>
      <c r="F177" s="2"/>
      <c r="G177" s="2">
        <v>-179041</v>
      </c>
      <c r="H177" s="74">
        <v>0</v>
      </c>
      <c r="I177" s="74">
        <f>C177+E177+G177</f>
        <v>57200163.446000017</v>
      </c>
      <c r="J177" s="75">
        <f>J176*1.5</f>
        <v>0.12</v>
      </c>
      <c r="K177" s="2"/>
      <c r="L177" s="2"/>
      <c r="M177" s="39">
        <f t="shared" si="24"/>
        <v>6864019.613520002</v>
      </c>
      <c r="N177" s="39">
        <f>H177+I177-M177</f>
        <v>50336143.832480013</v>
      </c>
      <c r="O177" s="42">
        <v>9937175.759999983</v>
      </c>
      <c r="P177" s="25">
        <f>E177+O177</f>
        <v>67316380.206</v>
      </c>
      <c r="Q177" s="25">
        <v>67316380.206</v>
      </c>
    </row>
    <row r="178" spans="1:17" x14ac:dyDescent="0.25">
      <c r="A178" s="3">
        <v>50</v>
      </c>
      <c r="B178" s="3" t="s">
        <v>77</v>
      </c>
      <c r="C178" s="54">
        <f>N147+N148</f>
        <v>569670.36003727245</v>
      </c>
      <c r="D178" s="29">
        <v>0</v>
      </c>
      <c r="E178" s="39"/>
      <c r="F178" s="2">
        <v>0</v>
      </c>
      <c r="G178" s="2">
        <v>0</v>
      </c>
      <c r="H178" s="2">
        <v>0</v>
      </c>
      <c r="I178" s="74">
        <f>C178+H178+G178</f>
        <v>569670.36003727245</v>
      </c>
      <c r="J178" s="75">
        <v>0.55000000000000004</v>
      </c>
      <c r="K178" s="2"/>
      <c r="L178" s="2"/>
      <c r="M178" s="39">
        <f t="shared" si="24"/>
        <v>313318.6980204999</v>
      </c>
      <c r="N178" s="39">
        <f>H178+I178-M178</f>
        <v>256351.66201677255</v>
      </c>
    </row>
    <row r="179" spans="1:17" x14ac:dyDescent="0.25">
      <c r="A179" s="58">
        <v>50</v>
      </c>
      <c r="B179" s="3" t="s">
        <v>76</v>
      </c>
      <c r="C179" s="54">
        <v>0</v>
      </c>
      <c r="D179" s="29">
        <v>0</v>
      </c>
      <c r="E179" s="39">
        <f>Q179-O179</f>
        <v>1796769.7600000007</v>
      </c>
      <c r="F179" s="5"/>
      <c r="G179" s="5">
        <v>0</v>
      </c>
      <c r="H179" s="39"/>
      <c r="I179" s="74">
        <f>C179+E179+G179</f>
        <v>1796769.7600000007</v>
      </c>
      <c r="J179" s="75">
        <f>J178*1.5</f>
        <v>0.82500000000000007</v>
      </c>
      <c r="K179" s="5"/>
      <c r="L179" s="5"/>
      <c r="M179" s="39">
        <f t="shared" si="24"/>
        <v>1482335.0520000006</v>
      </c>
      <c r="N179" s="39">
        <f>H179+I179-M179</f>
        <v>314434.7080000001</v>
      </c>
      <c r="O179" s="42">
        <v>706634.14</v>
      </c>
      <c r="P179" s="25">
        <f>E179+O179</f>
        <v>2503403.9000000008</v>
      </c>
      <c r="Q179" s="25">
        <v>2503403.9000000008</v>
      </c>
    </row>
    <row r="180" spans="1:17" x14ac:dyDescent="0.25">
      <c r="A180" s="59">
        <v>43.2</v>
      </c>
      <c r="B180" s="79" t="s">
        <v>75</v>
      </c>
      <c r="C180" s="54">
        <f>N149</f>
        <v>2786.3966307312221</v>
      </c>
      <c r="D180" s="29">
        <v>0</v>
      </c>
      <c r="E180" s="39"/>
      <c r="F180" s="5"/>
      <c r="G180" s="5"/>
      <c r="H180" s="39">
        <f>SUM(D180+G180)/2</f>
        <v>0</v>
      </c>
      <c r="I180" s="74">
        <f>C180+H180</f>
        <v>2786.3966307312221</v>
      </c>
      <c r="J180" s="75">
        <v>0.5</v>
      </c>
      <c r="K180" s="5"/>
      <c r="L180" s="5"/>
      <c r="M180" s="39">
        <f t="shared" si="24"/>
        <v>1393.1983153656111</v>
      </c>
      <c r="N180" s="39">
        <f>H180+I180-M180</f>
        <v>1393.1983153656111</v>
      </c>
    </row>
    <row r="181" spans="1:17" x14ac:dyDescent="0.25">
      <c r="A181" s="59">
        <v>43.2</v>
      </c>
      <c r="B181" s="79" t="s">
        <v>75</v>
      </c>
      <c r="C181" s="54">
        <v>0</v>
      </c>
      <c r="D181" s="2">
        <v>0</v>
      </c>
      <c r="E181" s="39">
        <v>0</v>
      </c>
      <c r="F181" s="5"/>
      <c r="G181" s="5"/>
      <c r="H181" s="39"/>
      <c r="I181" s="74"/>
      <c r="J181" s="75">
        <v>1</v>
      </c>
      <c r="K181" s="5"/>
      <c r="L181" s="5"/>
      <c r="M181" s="39"/>
      <c r="N181" s="39"/>
    </row>
    <row r="182" spans="1:17" x14ac:dyDescent="0.25">
      <c r="A182" s="59">
        <v>14.1</v>
      </c>
      <c r="B182" s="79" t="s">
        <v>74</v>
      </c>
      <c r="C182" s="54">
        <f>N151</f>
        <v>3103897.0378819578</v>
      </c>
      <c r="D182" s="67">
        <v>0</v>
      </c>
      <c r="E182" s="39"/>
      <c r="F182" s="5"/>
      <c r="G182" s="5"/>
      <c r="H182" s="39"/>
      <c r="I182" s="74">
        <f>C182</f>
        <v>3103897.0378819578</v>
      </c>
      <c r="J182" s="75">
        <v>7.0000000000000007E-2</v>
      </c>
      <c r="K182" s="5"/>
      <c r="L182" s="5"/>
      <c r="M182" s="39">
        <f>I182*J182</f>
        <v>217272.79265173708</v>
      </c>
      <c r="N182" s="39">
        <f>H182+I182-M182</f>
        <v>2886624.2452302207</v>
      </c>
    </row>
    <row r="183" spans="1:17" x14ac:dyDescent="0.25">
      <c r="A183" s="59">
        <v>14.1</v>
      </c>
      <c r="B183" s="79" t="s">
        <v>73</v>
      </c>
      <c r="C183" s="54">
        <f>N152+N153</f>
        <v>4728803.6610945398</v>
      </c>
      <c r="D183" s="29">
        <v>0</v>
      </c>
      <c r="E183" s="39"/>
      <c r="F183" s="5"/>
      <c r="G183" s="5"/>
      <c r="H183" s="39"/>
      <c r="I183" s="74">
        <f>C183+E183+G183</f>
        <v>4728803.6610945398</v>
      </c>
      <c r="J183" s="75">
        <v>0.05</v>
      </c>
      <c r="K183" s="5"/>
      <c r="L183" s="5"/>
      <c r="M183" s="39">
        <f>I183*J183</f>
        <v>236440.18305472701</v>
      </c>
      <c r="N183" s="39">
        <f>H183+I183-M183</f>
        <v>4492363.4780398132</v>
      </c>
    </row>
    <row r="184" spans="1:17" x14ac:dyDescent="0.25">
      <c r="A184" s="59">
        <v>14.1</v>
      </c>
      <c r="B184" s="79" t="s">
        <v>96</v>
      </c>
      <c r="C184" s="54">
        <v>0</v>
      </c>
      <c r="D184" s="29"/>
      <c r="E184" s="39">
        <f>Q184-O184</f>
        <v>0</v>
      </c>
      <c r="F184" s="5"/>
      <c r="G184" s="5"/>
      <c r="H184" s="39"/>
      <c r="I184" s="74">
        <f>C184+E184+G184</f>
        <v>0</v>
      </c>
      <c r="J184" s="75">
        <f>J183*1.5</f>
        <v>7.5000000000000011E-2</v>
      </c>
      <c r="K184" s="5"/>
      <c r="L184" s="5"/>
      <c r="M184" s="39">
        <f>I184*J184</f>
        <v>0</v>
      </c>
      <c r="N184" s="39">
        <f>H184+I184-M184</f>
        <v>0</v>
      </c>
      <c r="O184" s="42">
        <v>0</v>
      </c>
      <c r="P184" s="25">
        <f>E184+O184</f>
        <v>0</v>
      </c>
      <c r="Q184" s="25">
        <v>0</v>
      </c>
    </row>
    <row r="185" spans="1:17" ht="15.75" x14ac:dyDescent="0.25">
      <c r="A185" s="60">
        <v>95</v>
      </c>
      <c r="B185" s="60" t="s">
        <v>10</v>
      </c>
      <c r="C185" s="54">
        <v>0</v>
      </c>
      <c r="D185" s="29">
        <v>0</v>
      </c>
      <c r="E185" s="39">
        <v>0</v>
      </c>
      <c r="F185" s="2">
        <v>0</v>
      </c>
      <c r="G185" s="81"/>
      <c r="H185" s="39">
        <v>0</v>
      </c>
      <c r="I185" s="39">
        <f>C185+D185+E185+F185</f>
        <v>0</v>
      </c>
      <c r="J185" s="75">
        <v>0</v>
      </c>
      <c r="K185" s="2"/>
      <c r="L185" s="2"/>
      <c r="M185" s="39">
        <f>I185*J185</f>
        <v>0</v>
      </c>
      <c r="N185" s="39">
        <f>H185+I185-M185</f>
        <v>0</v>
      </c>
      <c r="O185" s="42">
        <v>0</v>
      </c>
      <c r="P185" s="25">
        <f>E185+O185</f>
        <v>0</v>
      </c>
      <c r="Q185" s="25">
        <f>E185</f>
        <v>0</v>
      </c>
    </row>
    <row r="186" spans="1:17" ht="15.75" thickBot="1" x14ac:dyDescent="0.3">
      <c r="A186" s="61" t="s">
        <v>11</v>
      </c>
      <c r="B186" s="62"/>
      <c r="C186" s="63">
        <f t="shared" ref="C186:I186" si="25">SUM(C160:C185)</f>
        <v>232367961.53962269</v>
      </c>
      <c r="D186" s="64">
        <f t="shared" si="25"/>
        <v>0</v>
      </c>
      <c r="E186" s="64">
        <f t="shared" si="25"/>
        <v>67210275.876000017</v>
      </c>
      <c r="F186" s="23">
        <f t="shared" si="25"/>
        <v>0</v>
      </c>
      <c r="G186" s="27">
        <f t="shared" si="25"/>
        <v>-372165</v>
      </c>
      <c r="H186" s="23">
        <f t="shared" si="25"/>
        <v>0</v>
      </c>
      <c r="I186" s="63">
        <f t="shared" si="25"/>
        <v>297985368.41562265</v>
      </c>
      <c r="J186" s="63" t="s">
        <v>0</v>
      </c>
      <c r="K186" s="63">
        <f t="shared" ref="K186:Q186" si="26">SUM(K160:K185)</f>
        <v>0</v>
      </c>
      <c r="L186" s="63">
        <f t="shared" si="26"/>
        <v>0</v>
      </c>
      <c r="M186" s="63">
        <f t="shared" si="26"/>
        <v>28386159.398298852</v>
      </c>
      <c r="N186" s="63">
        <f t="shared" si="26"/>
        <v>270819913.01732385</v>
      </c>
      <c r="O186" s="42">
        <f t="shared" si="26"/>
        <v>13606049.349999983</v>
      </c>
      <c r="P186" s="25">
        <f t="shared" si="26"/>
        <v>80816325.226000011</v>
      </c>
      <c r="Q186" s="25">
        <f t="shared" si="26"/>
        <v>80816325.226000011</v>
      </c>
    </row>
    <row r="187" spans="1:17" ht="15" customHeight="1" thickTop="1" x14ac:dyDescent="0.25">
      <c r="M187" s="67" t="s">
        <v>0</v>
      </c>
    </row>
    <row r="188" spans="1:17" ht="14.45" customHeight="1" x14ac:dyDescent="0.25">
      <c r="A188" s="68">
        <v>2023</v>
      </c>
      <c r="B188" s="68" t="s">
        <v>141</v>
      </c>
      <c r="M188" s="67" t="s">
        <v>0</v>
      </c>
      <c r="N188" s="89" t="s">
        <v>0</v>
      </c>
      <c r="O188" s="42" t="s">
        <v>0</v>
      </c>
    </row>
    <row r="189" spans="1:17" ht="59.45" customHeight="1" x14ac:dyDescent="0.25">
      <c r="A189" s="53" t="s">
        <v>2</v>
      </c>
      <c r="B189" s="53" t="s">
        <v>3</v>
      </c>
      <c r="C189" s="53" t="s">
        <v>113</v>
      </c>
      <c r="D189" s="69" t="s">
        <v>0</v>
      </c>
      <c r="E189" s="69" t="s">
        <v>131</v>
      </c>
      <c r="F189" s="69" t="s">
        <v>4</v>
      </c>
      <c r="G189" s="69" t="s">
        <v>12</v>
      </c>
      <c r="H189" s="69" t="s">
        <v>5</v>
      </c>
      <c r="I189" s="69" t="s">
        <v>6</v>
      </c>
      <c r="J189" s="69" t="s">
        <v>57</v>
      </c>
      <c r="K189" s="69" t="s">
        <v>58</v>
      </c>
      <c r="L189" s="69" t="s">
        <v>7</v>
      </c>
      <c r="M189" s="69" t="s">
        <v>61</v>
      </c>
      <c r="N189" s="69" t="s">
        <v>8</v>
      </c>
      <c r="O189" s="85" t="s">
        <v>108</v>
      </c>
      <c r="P189" s="41" t="s">
        <v>11</v>
      </c>
      <c r="Q189" s="41" t="s">
        <v>136</v>
      </c>
    </row>
    <row r="190" spans="1:17" ht="14.45" customHeight="1" x14ac:dyDescent="0.25">
      <c r="A190" s="53"/>
      <c r="B190" s="53"/>
      <c r="C190" s="70"/>
      <c r="D190" s="28"/>
      <c r="E190" s="39"/>
      <c r="F190" s="1"/>
      <c r="G190" s="1"/>
      <c r="H190" s="1"/>
      <c r="I190" s="71"/>
      <c r="J190" s="72"/>
      <c r="K190" s="1"/>
      <c r="L190" s="1"/>
      <c r="M190" s="73"/>
      <c r="N190" s="73"/>
    </row>
    <row r="191" spans="1:17" ht="14.45" customHeight="1" x14ac:dyDescent="0.25">
      <c r="A191" s="3">
        <v>1</v>
      </c>
      <c r="B191" s="3" t="s">
        <v>94</v>
      </c>
      <c r="C191" s="54">
        <f>N160</f>
        <v>67923334.467072278</v>
      </c>
      <c r="D191" s="29">
        <v>0</v>
      </c>
      <c r="E191" s="39"/>
      <c r="F191" s="2"/>
      <c r="G191" s="2"/>
      <c r="H191" s="39">
        <f>SUM(D191+G191)/2</f>
        <v>0</v>
      </c>
      <c r="I191" s="74">
        <f>C191+H191</f>
        <v>67923334.467072278</v>
      </c>
      <c r="J191" s="75">
        <v>0.04</v>
      </c>
      <c r="K191" s="2"/>
      <c r="L191" s="2"/>
      <c r="M191" s="39">
        <f>I191*J191</f>
        <v>2716933.3786828914</v>
      </c>
      <c r="N191" s="39">
        <f>H191+I191-M191</f>
        <v>65206401.088389389</v>
      </c>
    </row>
    <row r="192" spans="1:17" ht="14.45" customHeight="1" x14ac:dyDescent="0.25">
      <c r="A192" s="55" t="s">
        <v>92</v>
      </c>
      <c r="B192" s="3" t="s">
        <v>93</v>
      </c>
      <c r="C192" s="54">
        <f>N161+N162</f>
        <v>12456019.114914726</v>
      </c>
      <c r="D192" s="29">
        <v>0</v>
      </c>
      <c r="E192" s="39">
        <v>0</v>
      </c>
      <c r="F192" s="2" t="s">
        <v>0</v>
      </c>
      <c r="G192" s="2"/>
      <c r="H192" s="74">
        <f>SUM(D192+G192)/2</f>
        <v>0</v>
      </c>
      <c r="I192" s="74">
        <f>C192+H192</f>
        <v>12456019.114914726</v>
      </c>
      <c r="J192" s="75">
        <v>0.06</v>
      </c>
      <c r="K192" s="2"/>
      <c r="L192" s="2"/>
      <c r="M192" s="39">
        <f>I192*J192</f>
        <v>747361.1468948836</v>
      </c>
      <c r="N192" s="39">
        <f>H192+I192-M192</f>
        <v>11708657.968019843</v>
      </c>
    </row>
    <row r="193" spans="1:18" ht="14.45" customHeight="1" x14ac:dyDescent="0.25">
      <c r="A193" s="55" t="s">
        <v>92</v>
      </c>
      <c r="B193" s="3" t="s">
        <v>91</v>
      </c>
      <c r="C193" s="54">
        <v>0</v>
      </c>
      <c r="D193" s="29">
        <v>0</v>
      </c>
      <c r="E193" s="39">
        <f>Q193-O193</f>
        <v>1176470.3000000021</v>
      </c>
      <c r="F193" s="2"/>
      <c r="G193" s="2"/>
      <c r="H193" s="74">
        <f>SUM(D193+G193)/2</f>
        <v>0</v>
      </c>
      <c r="I193" s="74">
        <f>C193+E193+G193</f>
        <v>1176470.3000000021</v>
      </c>
      <c r="J193" s="75">
        <f>J192*1.5</f>
        <v>0.09</v>
      </c>
      <c r="K193" s="2"/>
      <c r="L193" s="2"/>
      <c r="M193" s="39">
        <f>I193*J193</f>
        <v>105882.32700000019</v>
      </c>
      <c r="N193" s="39">
        <f>H193+I193-M193</f>
        <v>1070587.9730000019</v>
      </c>
      <c r="O193" s="42">
        <v>113815.00000000006</v>
      </c>
      <c r="P193" s="25">
        <f>E193+O193</f>
        <v>1290285.3000000021</v>
      </c>
      <c r="Q193" s="25">
        <v>1290285.3000000021</v>
      </c>
    </row>
    <row r="194" spans="1:18" ht="14.45" customHeight="1" x14ac:dyDescent="0.25">
      <c r="A194" s="56">
        <v>8</v>
      </c>
      <c r="B194" s="56" t="s">
        <v>90</v>
      </c>
      <c r="C194" s="54">
        <f>N163+N164</f>
        <v>2783334.5947592552</v>
      </c>
      <c r="D194" s="67">
        <v>0</v>
      </c>
      <c r="E194" s="29"/>
      <c r="F194" s="2"/>
      <c r="G194" s="2"/>
      <c r="H194" s="74">
        <f>SUM(E194+G194)/2</f>
        <v>0</v>
      </c>
      <c r="I194" s="74">
        <f>C194+H194</f>
        <v>2783334.5947592552</v>
      </c>
      <c r="J194" s="75">
        <v>0.2</v>
      </c>
      <c r="K194" s="2"/>
      <c r="L194" s="2"/>
      <c r="M194" s="39">
        <f>I194*J194</f>
        <v>556666.91895185108</v>
      </c>
      <c r="N194" s="39">
        <f t="shared" ref="N194:N207" si="27">H194+I194-M194</f>
        <v>2226667.6758074043</v>
      </c>
    </row>
    <row r="195" spans="1:18" ht="14.45" customHeight="1" x14ac:dyDescent="0.25">
      <c r="A195" s="56">
        <v>8</v>
      </c>
      <c r="B195" s="56" t="s">
        <v>62</v>
      </c>
      <c r="C195" s="54">
        <v>0</v>
      </c>
      <c r="D195" s="29">
        <v>0</v>
      </c>
      <c r="E195" s="39">
        <f>Q195-O195</f>
        <v>962809.58000000217</v>
      </c>
      <c r="F195" s="2"/>
      <c r="G195" s="2"/>
      <c r="H195" s="39"/>
      <c r="I195" s="74">
        <f>C195+E195+G195-962810</f>
        <v>-0.4199999978300184</v>
      </c>
      <c r="J195" s="75">
        <f>J194*1.5</f>
        <v>0.30000000000000004</v>
      </c>
      <c r="K195" s="2"/>
      <c r="L195" s="2"/>
      <c r="M195" s="39">
        <f>I195*J195+962810</f>
        <v>962809.87400000065</v>
      </c>
      <c r="N195" s="39">
        <f>I195*(1-J195)</f>
        <v>-0.29399999848101288</v>
      </c>
      <c r="O195" s="42">
        <v>157617.06999999966</v>
      </c>
      <c r="P195" s="25">
        <f>E195+O195</f>
        <v>1120426.6500000018</v>
      </c>
      <c r="Q195" s="25">
        <v>1120426.6500000018</v>
      </c>
      <c r="R195" t="s">
        <v>143</v>
      </c>
    </row>
    <row r="196" spans="1:18" ht="14.45" customHeight="1" x14ac:dyDescent="0.25">
      <c r="A196" s="3">
        <v>10</v>
      </c>
      <c r="B196" s="3" t="s">
        <v>9</v>
      </c>
      <c r="C196" s="54">
        <f>N165+N166</f>
        <v>2527938.7487405762</v>
      </c>
      <c r="D196" s="29">
        <v>0</v>
      </c>
      <c r="E196" s="39"/>
      <c r="F196" s="2"/>
      <c r="G196" s="2">
        <v>0</v>
      </c>
      <c r="H196" s="39">
        <v>0</v>
      </c>
      <c r="I196" s="74">
        <f>C196+H196+G196</f>
        <v>2527938.7487405762</v>
      </c>
      <c r="J196" s="75">
        <v>0.3</v>
      </c>
      <c r="K196" s="2"/>
      <c r="L196" s="2"/>
      <c r="M196" s="39">
        <f t="shared" ref="M196:M203" si="28">I196*J196</f>
        <v>758381.62462217279</v>
      </c>
      <c r="N196" s="39">
        <f t="shared" si="27"/>
        <v>1769557.1241184035</v>
      </c>
    </row>
    <row r="197" spans="1:18" ht="14.45" customHeight="1" x14ac:dyDescent="0.25">
      <c r="A197" s="3">
        <v>10</v>
      </c>
      <c r="B197" s="3" t="s">
        <v>89</v>
      </c>
      <c r="C197" s="54">
        <v>0</v>
      </c>
      <c r="D197" s="29">
        <v>0</v>
      </c>
      <c r="E197" s="39">
        <f>Q197-O197</f>
        <v>1117831.2000000002</v>
      </c>
      <c r="F197" s="2"/>
      <c r="G197" s="2">
        <v>-99036</v>
      </c>
      <c r="H197" s="39"/>
      <c r="I197" s="74">
        <f>C197+E197+G197-379573</f>
        <v>639222.20000000019</v>
      </c>
      <c r="J197" s="75">
        <f>J196*1.5</f>
        <v>0.44999999999999996</v>
      </c>
      <c r="K197" s="2"/>
      <c r="L197" s="2"/>
      <c r="M197" s="39">
        <f>I197*J197+379573</f>
        <v>667222.99</v>
      </c>
      <c r="N197" s="39">
        <f>I197*(1-J197)</f>
        <v>351572.21000000014</v>
      </c>
      <c r="O197" s="42">
        <v>538420.51</v>
      </c>
      <c r="P197" s="25">
        <f>E197+O197</f>
        <v>1656251.7100000002</v>
      </c>
      <c r="Q197" s="25">
        <v>1656251.7100000002</v>
      </c>
      <c r="R197" t="s">
        <v>130</v>
      </c>
    </row>
    <row r="198" spans="1:18" ht="14.45" customHeight="1" x14ac:dyDescent="0.25">
      <c r="A198" s="56">
        <v>10.1</v>
      </c>
      <c r="B198" s="3" t="s">
        <v>88</v>
      </c>
      <c r="C198" s="54">
        <f>N167</f>
        <v>197.22598285645782</v>
      </c>
      <c r="D198" s="29">
        <v>0</v>
      </c>
      <c r="E198" s="39"/>
      <c r="F198" s="2"/>
      <c r="G198" s="2"/>
      <c r="H198" s="39">
        <f>SUM(D198+G198)/2</f>
        <v>0</v>
      </c>
      <c r="I198" s="74">
        <f>C198+H198</f>
        <v>197.22598285645782</v>
      </c>
      <c r="J198" s="75">
        <v>0.3</v>
      </c>
      <c r="K198" s="2"/>
      <c r="L198" s="2"/>
      <c r="M198" s="39">
        <f t="shared" si="28"/>
        <v>59.167794856937341</v>
      </c>
      <c r="N198" s="39">
        <f t="shared" si="27"/>
        <v>138.05818799952047</v>
      </c>
    </row>
    <row r="199" spans="1:18" ht="14.45" customHeight="1" x14ac:dyDescent="0.25">
      <c r="A199" s="56">
        <v>10.1</v>
      </c>
      <c r="B199" s="3" t="s">
        <v>87</v>
      </c>
      <c r="C199" s="54">
        <f>N168</f>
        <v>197.58311455923098</v>
      </c>
      <c r="D199" s="29">
        <v>0</v>
      </c>
      <c r="E199" s="39"/>
      <c r="F199" s="2"/>
      <c r="G199" s="2"/>
      <c r="H199" s="39">
        <f>SUM(D199+G199)/2</f>
        <v>0</v>
      </c>
      <c r="I199" s="74">
        <f>C199+H199</f>
        <v>197.58311455923098</v>
      </c>
      <c r="J199" s="75">
        <v>0.3</v>
      </c>
      <c r="K199" s="2"/>
      <c r="L199" s="2"/>
      <c r="M199" s="39">
        <f t="shared" si="28"/>
        <v>59.274934367769291</v>
      </c>
      <c r="N199" s="39">
        <f t="shared" si="27"/>
        <v>138.3081801914617</v>
      </c>
    </row>
    <row r="200" spans="1:18" ht="14.45" customHeight="1" x14ac:dyDescent="0.25">
      <c r="A200" s="56">
        <v>10.1</v>
      </c>
      <c r="B200" s="3" t="s">
        <v>86</v>
      </c>
      <c r="C200" s="54">
        <f>N169</f>
        <v>285.85416709465483</v>
      </c>
      <c r="D200" s="29">
        <v>0</v>
      </c>
      <c r="E200" s="39"/>
      <c r="F200" s="2"/>
      <c r="G200" s="2"/>
      <c r="H200" s="39">
        <f>SUM(D200+G200)/2</f>
        <v>0</v>
      </c>
      <c r="I200" s="74">
        <f>C200+H200</f>
        <v>285.85416709465483</v>
      </c>
      <c r="J200" s="75">
        <v>0.3</v>
      </c>
      <c r="K200" s="2"/>
      <c r="L200" s="2"/>
      <c r="M200" s="39">
        <f t="shared" si="28"/>
        <v>85.756250128396445</v>
      </c>
      <c r="N200" s="39">
        <f t="shared" si="27"/>
        <v>200.09791696625837</v>
      </c>
    </row>
    <row r="201" spans="1:18" ht="14.45" customHeight="1" x14ac:dyDescent="0.25">
      <c r="A201" s="56">
        <v>10.1</v>
      </c>
      <c r="B201" s="3" t="s">
        <v>85</v>
      </c>
      <c r="C201" s="54">
        <f>N170</f>
        <v>408.33900363146267</v>
      </c>
      <c r="D201" s="29">
        <v>0</v>
      </c>
      <c r="E201" s="39"/>
      <c r="F201" s="2"/>
      <c r="G201" s="2"/>
      <c r="H201" s="39">
        <f>SUM(D201+G201)/2</f>
        <v>0</v>
      </c>
      <c r="I201" s="74">
        <f>C201+H201</f>
        <v>408.33900363146267</v>
      </c>
      <c r="J201" s="75">
        <v>0.3</v>
      </c>
      <c r="K201" s="2"/>
      <c r="L201" s="2"/>
      <c r="M201" s="39">
        <f t="shared" si="28"/>
        <v>122.5017010894388</v>
      </c>
      <c r="N201" s="39">
        <f t="shared" si="27"/>
        <v>285.83730254202385</v>
      </c>
    </row>
    <row r="202" spans="1:18" ht="14.45" customHeight="1" x14ac:dyDescent="0.25">
      <c r="A202" s="56">
        <v>12</v>
      </c>
      <c r="B202" s="57" t="s">
        <v>84</v>
      </c>
      <c r="C202" s="54">
        <f>N171+N172</f>
        <v>0</v>
      </c>
      <c r="D202" s="67">
        <v>0</v>
      </c>
      <c r="E202" s="29"/>
      <c r="F202" s="2"/>
      <c r="G202" s="2"/>
      <c r="H202" s="74">
        <f>SUM(E202+G202)/2</f>
        <v>0</v>
      </c>
      <c r="I202" s="74">
        <f>C202+H202</f>
        <v>0</v>
      </c>
      <c r="J202" s="75">
        <v>1</v>
      </c>
      <c r="K202" s="2"/>
      <c r="L202" s="2"/>
      <c r="M202" s="39">
        <f t="shared" si="28"/>
        <v>0</v>
      </c>
      <c r="N202" s="39">
        <f t="shared" si="27"/>
        <v>0</v>
      </c>
    </row>
    <row r="203" spans="1:18" ht="14.45" customHeight="1" x14ac:dyDescent="0.25">
      <c r="A203" s="56">
        <v>12</v>
      </c>
      <c r="B203" s="57" t="s">
        <v>83</v>
      </c>
      <c r="C203" s="54">
        <v>0</v>
      </c>
      <c r="D203" s="29">
        <v>0</v>
      </c>
      <c r="E203" s="39">
        <f>Q203-O203</f>
        <v>1106808.6500000004</v>
      </c>
      <c r="F203" s="2"/>
      <c r="G203" s="2"/>
      <c r="H203" s="74"/>
      <c r="I203" s="74">
        <f>C203+E203+G203</f>
        <v>1106808.6500000004</v>
      </c>
      <c r="J203" s="75">
        <f>J202</f>
        <v>1</v>
      </c>
      <c r="K203" s="2"/>
      <c r="L203" s="2"/>
      <c r="M203" s="39">
        <f t="shared" si="28"/>
        <v>1106808.6500000004</v>
      </c>
      <c r="N203" s="39">
        <f t="shared" si="27"/>
        <v>0</v>
      </c>
      <c r="O203" s="42">
        <v>547135.40000000037</v>
      </c>
      <c r="P203" s="25">
        <f>E203+O203</f>
        <v>1653944.0500000007</v>
      </c>
      <c r="Q203" s="25">
        <v>1653944.0500000007</v>
      </c>
    </row>
    <row r="204" spans="1:18" ht="14.45" customHeight="1" x14ac:dyDescent="0.25">
      <c r="A204" s="56">
        <v>13</v>
      </c>
      <c r="B204" s="57" t="s">
        <v>82</v>
      </c>
      <c r="C204" s="54">
        <f>N173</f>
        <v>-0.27685043337987736</v>
      </c>
      <c r="D204" s="29">
        <v>0</v>
      </c>
      <c r="E204" s="39"/>
      <c r="F204" s="2"/>
      <c r="G204" s="2"/>
      <c r="H204" s="74">
        <v>0</v>
      </c>
      <c r="I204" s="74">
        <f>C204+D204</f>
        <v>-0.27685043337987736</v>
      </c>
      <c r="J204" s="75">
        <v>0</v>
      </c>
      <c r="K204" s="2"/>
      <c r="L204" s="77"/>
      <c r="M204" s="74">
        <f>I204/30*9</f>
        <v>-8.3055130013963197E-2</v>
      </c>
      <c r="N204" s="39">
        <f t="shared" si="27"/>
        <v>-0.19379530336591416</v>
      </c>
    </row>
    <row r="205" spans="1:18" ht="14.45" customHeight="1" x14ac:dyDescent="0.25">
      <c r="A205" s="56">
        <v>42</v>
      </c>
      <c r="B205" s="56" t="s">
        <v>81</v>
      </c>
      <c r="C205" s="54">
        <f>N174</f>
        <v>1305.5408286695842</v>
      </c>
      <c r="D205" s="29">
        <v>0</v>
      </c>
      <c r="E205" s="39"/>
      <c r="F205" s="2"/>
      <c r="G205" s="2"/>
      <c r="H205" s="74">
        <f>SUM(D205+G205)/2</f>
        <v>0</v>
      </c>
      <c r="I205" s="74">
        <f>C205+H205</f>
        <v>1305.5408286695842</v>
      </c>
      <c r="J205" s="75">
        <v>0.12</v>
      </c>
      <c r="K205" s="2"/>
      <c r="L205" s="2"/>
      <c r="M205" s="39">
        <f t="shared" ref="M205:M211" si="29">I205*J205</f>
        <v>156.6648994403501</v>
      </c>
      <c r="N205" s="39">
        <f t="shared" si="27"/>
        <v>1148.8759292292341</v>
      </c>
    </row>
    <row r="206" spans="1:18" ht="14.45" customHeight="1" x14ac:dyDescent="0.25">
      <c r="A206" s="3">
        <v>45</v>
      </c>
      <c r="B206" s="3" t="s">
        <v>80</v>
      </c>
      <c r="C206" s="54">
        <f>N175</f>
        <v>57.461573909160798</v>
      </c>
      <c r="D206" s="78">
        <v>0</v>
      </c>
      <c r="E206" s="39"/>
      <c r="F206" s="2"/>
      <c r="G206" s="2"/>
      <c r="H206" s="74">
        <f>SUM(D206+G206)/2</f>
        <v>0</v>
      </c>
      <c r="I206" s="74">
        <f>C206+H206</f>
        <v>57.461573909160798</v>
      </c>
      <c r="J206" s="75">
        <v>0.45</v>
      </c>
      <c r="K206" s="2"/>
      <c r="L206" s="2"/>
      <c r="M206" s="39">
        <f t="shared" si="29"/>
        <v>25.857708259122358</v>
      </c>
      <c r="N206" s="39">
        <f t="shared" si="27"/>
        <v>31.60386565003844</v>
      </c>
    </row>
    <row r="207" spans="1:18" ht="15" customHeight="1" x14ac:dyDescent="0.25">
      <c r="A207" s="56">
        <v>47</v>
      </c>
      <c r="B207" s="56" t="s">
        <v>79</v>
      </c>
      <c r="C207" s="54">
        <f>N176+N177</f>
        <v>177175667.07241452</v>
      </c>
      <c r="D207" s="67">
        <v>0</v>
      </c>
      <c r="E207" s="29"/>
      <c r="F207" s="2">
        <v>0</v>
      </c>
      <c r="G207" s="67">
        <v>0</v>
      </c>
      <c r="H207" s="39">
        <v>0</v>
      </c>
      <c r="I207" s="74">
        <f>C207+H207+G207</f>
        <v>177175667.07241452</v>
      </c>
      <c r="J207" s="75">
        <v>0.08</v>
      </c>
      <c r="K207" s="2"/>
      <c r="L207" s="2"/>
      <c r="M207" s="39">
        <f t="shared" si="29"/>
        <v>14174053.365793161</v>
      </c>
      <c r="N207" s="39">
        <f t="shared" si="27"/>
        <v>163001613.70662135</v>
      </c>
    </row>
    <row r="208" spans="1:18" ht="14.45" customHeight="1" x14ac:dyDescent="0.25">
      <c r="A208" s="56">
        <v>47</v>
      </c>
      <c r="B208" s="56" t="s">
        <v>78</v>
      </c>
      <c r="C208" s="54">
        <v>0</v>
      </c>
      <c r="D208" s="29">
        <v>0</v>
      </c>
      <c r="E208" s="39">
        <f>Q208-O208</f>
        <v>25578503.461000014</v>
      </c>
      <c r="F208" s="2"/>
      <c r="G208" s="2">
        <v>-391446</v>
      </c>
      <c r="H208" s="74">
        <v>0</v>
      </c>
      <c r="I208" s="74">
        <f>C208+E208+G208</f>
        <v>25187057.461000014</v>
      </c>
      <c r="J208" s="75">
        <f>J207*1.5</f>
        <v>0.12</v>
      </c>
      <c r="K208" s="2"/>
      <c r="L208" s="2"/>
      <c r="M208" s="39">
        <f t="shared" si="29"/>
        <v>3022446.8953200015</v>
      </c>
      <c r="N208" s="39">
        <f>H208+I208-M208</f>
        <v>22164610.565680012</v>
      </c>
      <c r="O208" s="42">
        <v>10010654.469999988</v>
      </c>
      <c r="P208" s="25">
        <f>E208+O208</f>
        <v>35589157.931000002</v>
      </c>
      <c r="Q208" s="25">
        <v>35589157.931000002</v>
      </c>
    </row>
    <row r="209" spans="1:18" ht="14.45" customHeight="1" x14ac:dyDescent="0.25">
      <c r="A209" s="3">
        <v>50</v>
      </c>
      <c r="B209" s="3" t="s">
        <v>77</v>
      </c>
      <c r="C209" s="54">
        <f>N178+N179</f>
        <v>570786.37001677265</v>
      </c>
      <c r="D209" s="29">
        <v>0</v>
      </c>
      <c r="E209" s="39"/>
      <c r="F209" s="2">
        <v>0</v>
      </c>
      <c r="G209" s="2">
        <v>0</v>
      </c>
      <c r="H209" s="2">
        <v>0</v>
      </c>
      <c r="I209" s="74">
        <f>C209+H209+G209</f>
        <v>570786.37001677265</v>
      </c>
      <c r="J209" s="75">
        <v>0.55000000000000004</v>
      </c>
      <c r="K209" s="2"/>
      <c r="L209" s="2"/>
      <c r="M209" s="39">
        <f t="shared" si="29"/>
        <v>313932.50350922497</v>
      </c>
      <c r="N209" s="39">
        <f>H209+I209-M209</f>
        <v>256853.86650754767</v>
      </c>
    </row>
    <row r="210" spans="1:18" ht="14.45" customHeight="1" x14ac:dyDescent="0.25">
      <c r="A210" s="58">
        <v>50</v>
      </c>
      <c r="B210" s="3" t="s">
        <v>76</v>
      </c>
      <c r="C210" s="54">
        <v>0</v>
      </c>
      <c r="D210" s="29">
        <v>0</v>
      </c>
      <c r="E210" s="39">
        <f>Q210-O210</f>
        <v>1058651.9099999992</v>
      </c>
      <c r="F210" s="5"/>
      <c r="G210" s="5">
        <v>0</v>
      </c>
      <c r="H210" s="39"/>
      <c r="I210" s="74">
        <f>C210+E210+G210</f>
        <v>1058651.9099999992</v>
      </c>
      <c r="J210" s="75">
        <f>J209*1.5</f>
        <v>0.82500000000000007</v>
      </c>
      <c r="K210" s="5"/>
      <c r="L210" s="5"/>
      <c r="M210" s="39">
        <f>I210*J210</f>
        <v>873387.82574999938</v>
      </c>
      <c r="N210" s="39">
        <f>I210*(1-J210)</f>
        <v>185264.08424999978</v>
      </c>
      <c r="O210" s="42">
        <v>458849.89999999997</v>
      </c>
      <c r="P210" s="25">
        <f>E210+O210</f>
        <v>1517501.8099999991</v>
      </c>
      <c r="Q210" s="25">
        <v>1517501.8099999991</v>
      </c>
      <c r="R210" t="s">
        <v>0</v>
      </c>
    </row>
    <row r="211" spans="1:18" ht="14.45" customHeight="1" x14ac:dyDescent="0.25">
      <c r="A211" s="59">
        <v>43.2</v>
      </c>
      <c r="B211" s="79" t="s">
        <v>75</v>
      </c>
      <c r="C211" s="54">
        <f>N180</f>
        <v>1393.1983153656111</v>
      </c>
      <c r="D211" s="29">
        <v>0</v>
      </c>
      <c r="E211" s="39"/>
      <c r="F211" s="5"/>
      <c r="G211" s="5"/>
      <c r="H211" s="39">
        <f>SUM(D211+G211)/2</f>
        <v>0</v>
      </c>
      <c r="I211" s="74">
        <f>C211+H211</f>
        <v>1393.1983153656111</v>
      </c>
      <c r="J211" s="75">
        <v>0.5</v>
      </c>
      <c r="K211" s="5"/>
      <c r="L211" s="5"/>
      <c r="M211" s="39">
        <f t="shared" si="29"/>
        <v>696.59915768280553</v>
      </c>
      <c r="N211" s="39">
        <f>H211+I211-M211</f>
        <v>696.59915768280553</v>
      </c>
    </row>
    <row r="212" spans="1:18" ht="14.45" customHeight="1" x14ac:dyDescent="0.25">
      <c r="A212" s="59">
        <v>43.2</v>
      </c>
      <c r="B212" s="79" t="s">
        <v>75</v>
      </c>
      <c r="C212" s="54">
        <v>0</v>
      </c>
      <c r="D212" s="2">
        <v>0</v>
      </c>
      <c r="E212" s="39">
        <v>0</v>
      </c>
      <c r="F212" s="5"/>
      <c r="G212" s="5"/>
      <c r="H212" s="39"/>
      <c r="I212" s="74"/>
      <c r="J212" s="75">
        <v>1</v>
      </c>
      <c r="K212" s="5"/>
      <c r="L212" s="5"/>
      <c r="M212" s="39"/>
      <c r="N212" s="39"/>
    </row>
    <row r="213" spans="1:18" x14ac:dyDescent="0.25">
      <c r="A213" s="59">
        <v>46</v>
      </c>
      <c r="B213" s="79" t="s">
        <v>134</v>
      </c>
      <c r="C213" s="54">
        <v>0</v>
      </c>
      <c r="D213" s="2"/>
      <c r="E213" s="39"/>
      <c r="F213" s="5"/>
      <c r="G213" s="5"/>
      <c r="H213" s="39"/>
      <c r="I213" s="74">
        <f>C213+H213</f>
        <v>0</v>
      </c>
      <c r="J213" s="75">
        <v>0.3</v>
      </c>
      <c r="K213" s="5"/>
      <c r="L213" s="5"/>
      <c r="M213" s="39">
        <f>I213*J213</f>
        <v>0</v>
      </c>
      <c r="N213" s="39">
        <f t="shared" ref="N213:N218" si="30">H213+I213-M213</f>
        <v>0</v>
      </c>
      <c r="O213" s="68"/>
      <c r="P213"/>
      <c r="Q213"/>
    </row>
    <row r="214" spans="1:18" x14ac:dyDescent="0.25">
      <c r="A214" s="59">
        <v>46</v>
      </c>
      <c r="B214" s="79" t="s">
        <v>135</v>
      </c>
      <c r="C214" s="54">
        <v>0</v>
      </c>
      <c r="D214" s="2"/>
      <c r="E214" s="39">
        <f>Q214-O214</f>
        <v>308026.98</v>
      </c>
      <c r="F214" s="5"/>
      <c r="G214" s="5"/>
      <c r="H214" s="39"/>
      <c r="I214" s="74">
        <f>C214+E214+G214</f>
        <v>308026.98</v>
      </c>
      <c r="J214" s="75">
        <f>J213*1.5</f>
        <v>0.44999999999999996</v>
      </c>
      <c r="K214" s="5"/>
      <c r="L214" s="5"/>
      <c r="M214" s="39">
        <f>(I214*J214)</f>
        <v>138612.14099999997</v>
      </c>
      <c r="N214" s="39">
        <f t="shared" si="30"/>
        <v>169414.83900000001</v>
      </c>
      <c r="O214" s="42">
        <v>132011.56</v>
      </c>
      <c r="P214" s="25">
        <f>E214+O214</f>
        <v>440038.54</v>
      </c>
      <c r="Q214" s="25">
        <v>440038.54</v>
      </c>
    </row>
    <row r="215" spans="1:18" ht="14.45" customHeight="1" x14ac:dyDescent="0.25">
      <c r="A215" s="59">
        <v>14.1</v>
      </c>
      <c r="B215" s="79" t="s">
        <v>74</v>
      </c>
      <c r="C215" s="54">
        <f>N182</f>
        <v>2886624.2452302207</v>
      </c>
      <c r="D215" s="67">
        <v>0</v>
      </c>
      <c r="E215" s="39"/>
      <c r="F215" s="5"/>
      <c r="G215" s="5"/>
      <c r="H215" s="39"/>
      <c r="I215" s="74">
        <f>C215</f>
        <v>2886624.2452302207</v>
      </c>
      <c r="J215" s="75">
        <v>7.0000000000000007E-2</v>
      </c>
      <c r="K215" s="5"/>
      <c r="L215" s="5"/>
      <c r="M215" s="39">
        <f>I215*J215</f>
        <v>202063.69716611548</v>
      </c>
      <c r="N215" s="39">
        <f t="shared" si="30"/>
        <v>2684560.5480641052</v>
      </c>
    </row>
    <row r="216" spans="1:18" ht="14.45" customHeight="1" x14ac:dyDescent="0.25">
      <c r="A216" s="59">
        <v>14.1</v>
      </c>
      <c r="B216" s="79" t="s">
        <v>73</v>
      </c>
      <c r="C216" s="54">
        <f>N183+N184</f>
        <v>4492363.4780398132</v>
      </c>
      <c r="D216" s="29">
        <v>0</v>
      </c>
      <c r="E216" s="39"/>
      <c r="F216" s="5"/>
      <c r="G216" s="5"/>
      <c r="H216" s="39"/>
      <c r="I216" s="74">
        <f>C216+E216+G216</f>
        <v>4492363.4780398132</v>
      </c>
      <c r="J216" s="75">
        <v>0.05</v>
      </c>
      <c r="K216" s="5"/>
      <c r="L216" s="5"/>
      <c r="M216" s="39">
        <f>I216*J216</f>
        <v>224618.17390199067</v>
      </c>
      <c r="N216" s="39">
        <f t="shared" si="30"/>
        <v>4267745.3041378222</v>
      </c>
    </row>
    <row r="217" spans="1:18" ht="14.45" customHeight="1" x14ac:dyDescent="0.25">
      <c r="A217" s="59">
        <v>14.1</v>
      </c>
      <c r="B217" s="79" t="s">
        <v>96</v>
      </c>
      <c r="C217" s="54">
        <v>0</v>
      </c>
      <c r="D217" s="29"/>
      <c r="E217" s="39">
        <f>Q217-O217</f>
        <v>310063.09999999905</v>
      </c>
      <c r="F217" s="5"/>
      <c r="G217" s="5"/>
      <c r="H217" s="39"/>
      <c r="I217" s="74">
        <f>C217+E217+G217</f>
        <v>310063.09999999905</v>
      </c>
      <c r="J217" s="75">
        <f>J216*1.5</f>
        <v>7.5000000000000011E-2</v>
      </c>
      <c r="K217" s="5"/>
      <c r="L217" s="5"/>
      <c r="M217" s="39">
        <f>I217*J217</f>
        <v>23254.732499999933</v>
      </c>
      <c r="N217" s="39">
        <f t="shared" si="30"/>
        <v>286808.36749999912</v>
      </c>
      <c r="O217" s="42">
        <v>0</v>
      </c>
      <c r="P217" s="25">
        <f>E217+O217</f>
        <v>310063.09999999905</v>
      </c>
      <c r="Q217" s="25">
        <v>310063.09999999905</v>
      </c>
    </row>
    <row r="218" spans="1:18" ht="15.6" customHeight="1" x14ac:dyDescent="0.25">
      <c r="A218" s="60">
        <v>95</v>
      </c>
      <c r="B218" s="60" t="s">
        <v>10</v>
      </c>
      <c r="C218" s="54">
        <v>0</v>
      </c>
      <c r="D218" s="29">
        <v>0</v>
      </c>
      <c r="E218" s="39"/>
      <c r="F218" s="2">
        <v>0</v>
      </c>
      <c r="G218" s="81"/>
      <c r="H218" s="39">
        <v>0</v>
      </c>
      <c r="I218" s="39">
        <f>C218+D218+E218+F218</f>
        <v>0</v>
      </c>
      <c r="J218" s="75">
        <v>0</v>
      </c>
      <c r="K218" s="2"/>
      <c r="L218" s="2"/>
      <c r="M218" s="39">
        <f>I218*J218</f>
        <v>0</v>
      </c>
      <c r="N218" s="39">
        <f t="shared" si="30"/>
        <v>0</v>
      </c>
      <c r="Q218" s="25">
        <f>E218</f>
        <v>0</v>
      </c>
    </row>
    <row r="219" spans="1:18" ht="15" customHeight="1" thickBot="1" x14ac:dyDescent="0.3">
      <c r="A219" s="61" t="s">
        <v>11</v>
      </c>
      <c r="B219" s="62"/>
      <c r="C219" s="63">
        <f t="shared" ref="C219:I219" si="31">SUM(C191:C218)</f>
        <v>270819913.01732385</v>
      </c>
      <c r="D219" s="64">
        <f t="shared" si="31"/>
        <v>0</v>
      </c>
      <c r="E219" s="64">
        <f t="shared" si="31"/>
        <v>31619165.181000017</v>
      </c>
      <c r="F219" s="23">
        <f t="shared" si="31"/>
        <v>0</v>
      </c>
      <c r="G219" s="27">
        <f t="shared" si="31"/>
        <v>-490482</v>
      </c>
      <c r="H219" s="23">
        <f t="shared" si="31"/>
        <v>0</v>
      </c>
      <c r="I219" s="63">
        <f t="shared" si="31"/>
        <v>300606213.19832391</v>
      </c>
      <c r="J219" s="63" t="s">
        <v>0</v>
      </c>
      <c r="K219" s="63">
        <f t="shared" ref="K219:Q219" si="32">SUM(K191:K218)</f>
        <v>0</v>
      </c>
      <c r="L219" s="63">
        <f t="shared" si="32"/>
        <v>0</v>
      </c>
      <c r="M219" s="63">
        <f t="shared" si="32"/>
        <v>26595641.984482989</v>
      </c>
      <c r="N219" s="63">
        <f t="shared" si="32"/>
        <v>275352954.2138409</v>
      </c>
      <c r="O219" s="42">
        <f>SUM(O191:O218)</f>
        <v>11958503.909999989</v>
      </c>
      <c r="P219" s="25">
        <f>SUM(P191:P218)</f>
        <v>43577669.091000006</v>
      </c>
      <c r="Q219" s="25">
        <f t="shared" si="32"/>
        <v>43577669.091000006</v>
      </c>
    </row>
    <row r="220" spans="1:18" ht="15" customHeight="1" thickTop="1" x14ac:dyDescent="0.25">
      <c r="M220" s="67" t="s">
        <v>0</v>
      </c>
      <c r="O220" s="90" t="s">
        <v>0</v>
      </c>
    </row>
    <row r="221" spans="1:18" x14ac:dyDescent="0.25">
      <c r="A221" s="68">
        <v>2024</v>
      </c>
      <c r="B221" s="68" t="s">
        <v>141</v>
      </c>
      <c r="M221" s="67" t="s">
        <v>0</v>
      </c>
      <c r="N221" s="42" t="s">
        <v>0</v>
      </c>
      <c r="O221" s="42" t="s">
        <v>0</v>
      </c>
    </row>
    <row r="222" spans="1:18" ht="51" customHeight="1" x14ac:dyDescent="0.25">
      <c r="A222" s="53" t="s">
        <v>2</v>
      </c>
      <c r="B222" s="53" t="s">
        <v>3</v>
      </c>
      <c r="C222" s="53" t="s">
        <v>119</v>
      </c>
      <c r="D222" s="69" t="s">
        <v>0</v>
      </c>
      <c r="E222" s="69" t="s">
        <v>132</v>
      </c>
      <c r="F222" s="69" t="s">
        <v>4</v>
      </c>
      <c r="G222" s="69" t="s">
        <v>12</v>
      </c>
      <c r="H222" s="69" t="s">
        <v>5</v>
      </c>
      <c r="I222" s="69" t="s">
        <v>6</v>
      </c>
      <c r="J222" s="69" t="s">
        <v>57</v>
      </c>
      <c r="K222" s="69" t="s">
        <v>58</v>
      </c>
      <c r="L222" s="69" t="s">
        <v>7</v>
      </c>
      <c r="M222" s="69" t="s">
        <v>61</v>
      </c>
      <c r="N222" s="69" t="s">
        <v>8</v>
      </c>
      <c r="O222" s="85" t="s">
        <v>108</v>
      </c>
      <c r="P222" s="41" t="s">
        <v>11</v>
      </c>
      <c r="Q222" s="41" t="s">
        <v>140</v>
      </c>
      <c r="R222" s="41"/>
    </row>
    <row r="223" spans="1:18" x14ac:dyDescent="0.25">
      <c r="A223" s="53"/>
      <c r="B223" s="53"/>
      <c r="C223" s="70"/>
      <c r="D223" s="28"/>
      <c r="E223" s="39"/>
      <c r="F223" s="1"/>
      <c r="G223" s="1"/>
      <c r="H223" s="1"/>
      <c r="I223" s="71"/>
      <c r="J223" s="72"/>
      <c r="K223" s="1"/>
      <c r="L223" s="1"/>
      <c r="M223" s="73"/>
      <c r="N223" s="73"/>
    </row>
    <row r="224" spans="1:18" x14ac:dyDescent="0.25">
      <c r="A224" s="3">
        <v>1</v>
      </c>
      <c r="B224" s="3" t="s">
        <v>94</v>
      </c>
      <c r="C224" s="54">
        <f>N191</f>
        <v>65206401.088389389</v>
      </c>
      <c r="D224" s="29">
        <v>0</v>
      </c>
      <c r="E224" s="39"/>
      <c r="F224" s="2"/>
      <c r="G224" s="2"/>
      <c r="H224" s="39">
        <f>SUM(D224+G224)/2</f>
        <v>0</v>
      </c>
      <c r="I224" s="74">
        <f>C224+H224</f>
        <v>65206401.088389389</v>
      </c>
      <c r="J224" s="75">
        <v>0.04</v>
      </c>
      <c r="K224" s="2"/>
      <c r="L224" s="2"/>
      <c r="M224" s="39">
        <f>I224*J224</f>
        <v>2608256.0435355757</v>
      </c>
      <c r="N224" s="39">
        <f>H224+I224-M224</f>
        <v>62598145.044853814</v>
      </c>
    </row>
    <row r="225" spans="1:17" x14ac:dyDescent="0.25">
      <c r="A225" s="55" t="s">
        <v>92</v>
      </c>
      <c r="B225" s="3" t="s">
        <v>93</v>
      </c>
      <c r="C225" s="54">
        <f>N192+N193</f>
        <v>12779245.941019844</v>
      </c>
      <c r="D225" s="29">
        <v>0</v>
      </c>
      <c r="E225" s="39">
        <v>0</v>
      </c>
      <c r="F225" s="2" t="s">
        <v>0</v>
      </c>
      <c r="G225" s="2"/>
      <c r="H225" s="74">
        <f>SUM(D225+G225)/2</f>
        <v>0</v>
      </c>
      <c r="I225" s="74">
        <f>C225+H225</f>
        <v>12779245.941019844</v>
      </c>
      <c r="J225" s="75">
        <v>0.06</v>
      </c>
      <c r="K225" s="2"/>
      <c r="L225" s="2"/>
      <c r="M225" s="39">
        <f t="shared" ref="M225:M236" si="33">I225*J225</f>
        <v>766754.75646119064</v>
      </c>
      <c r="N225" s="39">
        <f>H225+I225-M225</f>
        <v>12012491.184558654</v>
      </c>
    </row>
    <row r="226" spans="1:17" x14ac:dyDescent="0.25">
      <c r="A226" s="55" t="s">
        <v>92</v>
      </c>
      <c r="B226" s="3" t="s">
        <v>91</v>
      </c>
      <c r="C226" s="54">
        <v>0</v>
      </c>
      <c r="D226" s="29">
        <v>0</v>
      </c>
      <c r="E226" s="39">
        <f>Q226-O226</f>
        <v>443794.03999999817</v>
      </c>
      <c r="F226" s="2"/>
      <c r="G226" s="2"/>
      <c r="H226" s="74">
        <f>SUM(D226+G226)/2</f>
        <v>0</v>
      </c>
      <c r="I226" s="74">
        <f>C226+E226+G226</f>
        <v>443794.03999999817</v>
      </c>
      <c r="J226" s="75">
        <f>J225</f>
        <v>0.06</v>
      </c>
      <c r="K226" s="2"/>
      <c r="L226" s="2"/>
      <c r="M226" s="39">
        <f t="shared" si="33"/>
        <v>26627.642399999888</v>
      </c>
      <c r="N226" s="39">
        <f>H226+I226-M226</f>
        <v>417166.39759999828</v>
      </c>
      <c r="O226" s="42">
        <v>169360.35000000009</v>
      </c>
      <c r="P226" s="25">
        <f>E226+O226</f>
        <v>613154.38999999827</v>
      </c>
      <c r="Q226" s="25">
        <v>613154.38999999827</v>
      </c>
    </row>
    <row r="227" spans="1:17" x14ac:dyDescent="0.25">
      <c r="A227" s="56">
        <v>8</v>
      </c>
      <c r="B227" s="56" t="s">
        <v>90</v>
      </c>
      <c r="C227" s="54">
        <f>N194+N195</f>
        <v>2226667.381807406</v>
      </c>
      <c r="D227" s="67">
        <v>0</v>
      </c>
      <c r="E227" s="29"/>
      <c r="F227" s="2"/>
      <c r="G227" s="2"/>
      <c r="H227" s="74">
        <f>SUM(E227+G227)/2</f>
        <v>0</v>
      </c>
      <c r="I227" s="74">
        <f>C227+H227</f>
        <v>2226667.381807406</v>
      </c>
      <c r="J227" s="75">
        <v>0.2</v>
      </c>
      <c r="K227" s="2"/>
      <c r="L227" s="2"/>
      <c r="M227" s="39">
        <f t="shared" si="33"/>
        <v>445333.47636148124</v>
      </c>
      <c r="N227" s="39">
        <f t="shared" ref="N227:N240" si="34">H227+I227-M227</f>
        <v>1781333.9054459247</v>
      </c>
    </row>
    <row r="228" spans="1:17" x14ac:dyDescent="0.25">
      <c r="A228" s="56">
        <v>8</v>
      </c>
      <c r="B228" s="56" t="s">
        <v>62</v>
      </c>
      <c r="C228" s="54">
        <v>0</v>
      </c>
      <c r="D228" s="29">
        <v>0</v>
      </c>
      <c r="E228" s="39">
        <f>Q228-O228</f>
        <v>877793.55999999912</v>
      </c>
      <c r="F228" s="2"/>
      <c r="G228" s="2"/>
      <c r="H228" s="39"/>
      <c r="I228" s="74">
        <f>C228+E228+G228</f>
        <v>877793.55999999912</v>
      </c>
      <c r="J228" s="75">
        <f>J227</f>
        <v>0.2</v>
      </c>
      <c r="K228" s="2"/>
      <c r="L228" s="2"/>
      <c r="M228" s="39">
        <f t="shared" si="33"/>
        <v>175558.71199999982</v>
      </c>
      <c r="N228" s="39">
        <f t="shared" si="34"/>
        <v>702234.8479999993</v>
      </c>
      <c r="O228" s="42">
        <v>150937.20000000042</v>
      </c>
      <c r="P228" s="25">
        <f>E228+O228</f>
        <v>1028730.7599999995</v>
      </c>
      <c r="Q228" s="25">
        <v>1028730.7599999995</v>
      </c>
    </row>
    <row r="229" spans="1:17" x14ac:dyDescent="0.25">
      <c r="A229" s="3">
        <v>10</v>
      </c>
      <c r="B229" s="3" t="s">
        <v>9</v>
      </c>
      <c r="C229" s="54">
        <f>N196+N197</f>
        <v>2121129.3341184035</v>
      </c>
      <c r="D229" s="29">
        <v>0</v>
      </c>
      <c r="E229" s="39"/>
      <c r="F229" s="2"/>
      <c r="G229" s="2">
        <v>0</v>
      </c>
      <c r="H229" s="39">
        <v>0</v>
      </c>
      <c r="I229" s="74">
        <f>C229+H229+G229</f>
        <v>2121129.3341184035</v>
      </c>
      <c r="J229" s="75">
        <v>0.3</v>
      </c>
      <c r="K229" s="2"/>
      <c r="L229" s="2"/>
      <c r="M229" s="39">
        <f t="shared" si="33"/>
        <v>636338.80023552105</v>
      </c>
      <c r="N229" s="39">
        <f t="shared" si="34"/>
        <v>1484790.5338828824</v>
      </c>
    </row>
    <row r="230" spans="1:17" x14ac:dyDescent="0.25">
      <c r="A230" s="3">
        <v>10</v>
      </c>
      <c r="B230" s="3" t="s">
        <v>89</v>
      </c>
      <c r="C230" s="54">
        <v>0</v>
      </c>
      <c r="D230" s="29">
        <v>0</v>
      </c>
      <c r="E230" s="39">
        <f>Q230-O230</f>
        <v>665420.9300000004</v>
      </c>
      <c r="F230" s="2"/>
      <c r="G230" s="2">
        <v>-44476.1</v>
      </c>
      <c r="H230" s="39"/>
      <c r="I230" s="74">
        <f>C230+E230+G230</f>
        <v>620944.83000000042</v>
      </c>
      <c r="J230" s="75">
        <f>J229</f>
        <v>0.3</v>
      </c>
      <c r="K230" s="2"/>
      <c r="L230" s="2"/>
      <c r="M230" s="39">
        <f t="shared" si="33"/>
        <v>186283.44900000011</v>
      </c>
      <c r="N230" s="39">
        <f>H230+I230-M230</f>
        <v>434661.38100000028</v>
      </c>
      <c r="O230" s="42">
        <v>211613.97999999998</v>
      </c>
      <c r="P230" s="25">
        <f>E230+O230</f>
        <v>877034.91000000038</v>
      </c>
      <c r="Q230" s="25">
        <v>877034.91000000038</v>
      </c>
    </row>
    <row r="231" spans="1:17" x14ac:dyDescent="0.25">
      <c r="A231" s="56">
        <v>10.1</v>
      </c>
      <c r="B231" s="3" t="s">
        <v>88</v>
      </c>
      <c r="C231" s="54">
        <f>N198</f>
        <v>138.05818799952047</v>
      </c>
      <c r="D231" s="29">
        <v>0</v>
      </c>
      <c r="E231" s="39"/>
      <c r="F231" s="2"/>
      <c r="G231" s="2"/>
      <c r="H231" s="39">
        <f>SUM(D231+G231)/2</f>
        <v>0</v>
      </c>
      <c r="I231" s="74">
        <f>C231+H231</f>
        <v>138.05818799952047</v>
      </c>
      <c r="J231" s="75">
        <v>0.3</v>
      </c>
      <c r="K231" s="2"/>
      <c r="L231" s="2"/>
      <c r="M231" s="39">
        <f t="shared" si="33"/>
        <v>41.417456399856142</v>
      </c>
      <c r="N231" s="39">
        <f t="shared" si="34"/>
        <v>96.640731599664321</v>
      </c>
    </row>
    <row r="232" spans="1:17" x14ac:dyDescent="0.25">
      <c r="A232" s="56">
        <v>10.1</v>
      </c>
      <c r="B232" s="3" t="s">
        <v>87</v>
      </c>
      <c r="C232" s="54">
        <f>N199</f>
        <v>138.3081801914617</v>
      </c>
      <c r="D232" s="29">
        <v>0</v>
      </c>
      <c r="E232" s="39"/>
      <c r="F232" s="2"/>
      <c r="G232" s="2"/>
      <c r="H232" s="39">
        <f>SUM(D232+G232)/2</f>
        <v>0</v>
      </c>
      <c r="I232" s="74">
        <f>C232+H232</f>
        <v>138.3081801914617</v>
      </c>
      <c r="J232" s="75">
        <v>0.3</v>
      </c>
      <c r="K232" s="2"/>
      <c r="L232" s="2"/>
      <c r="M232" s="39">
        <f t="shared" si="33"/>
        <v>41.492454057438508</v>
      </c>
      <c r="N232" s="39">
        <f t="shared" si="34"/>
        <v>96.815726134023194</v>
      </c>
    </row>
    <row r="233" spans="1:17" x14ac:dyDescent="0.25">
      <c r="A233" s="56">
        <v>10.1</v>
      </c>
      <c r="B233" s="3" t="s">
        <v>86</v>
      </c>
      <c r="C233" s="54">
        <f>N200</f>
        <v>200.09791696625837</v>
      </c>
      <c r="D233" s="29">
        <v>0</v>
      </c>
      <c r="E233" s="39"/>
      <c r="F233" s="2"/>
      <c r="G233" s="2"/>
      <c r="H233" s="39">
        <f>SUM(D233+G233)/2</f>
        <v>0</v>
      </c>
      <c r="I233" s="74">
        <f>C233+H233</f>
        <v>200.09791696625837</v>
      </c>
      <c r="J233" s="75">
        <v>0.3</v>
      </c>
      <c r="K233" s="2"/>
      <c r="L233" s="2"/>
      <c r="M233" s="39">
        <f t="shared" si="33"/>
        <v>60.029375089877504</v>
      </c>
      <c r="N233" s="39">
        <f t="shared" si="34"/>
        <v>140.06854187638086</v>
      </c>
    </row>
    <row r="234" spans="1:17" x14ac:dyDescent="0.25">
      <c r="A234" s="56">
        <v>10.1</v>
      </c>
      <c r="B234" s="3" t="s">
        <v>85</v>
      </c>
      <c r="C234" s="54">
        <f>N201</f>
        <v>285.83730254202385</v>
      </c>
      <c r="D234" s="29">
        <v>0</v>
      </c>
      <c r="E234" s="39"/>
      <c r="F234" s="2"/>
      <c r="G234" s="2"/>
      <c r="H234" s="39">
        <f>SUM(D234+G234)/2</f>
        <v>0</v>
      </c>
      <c r="I234" s="74">
        <f>C234+H234</f>
        <v>285.83730254202385</v>
      </c>
      <c r="J234" s="75">
        <v>0.3</v>
      </c>
      <c r="K234" s="2"/>
      <c r="L234" s="2"/>
      <c r="M234" s="39">
        <f t="shared" si="33"/>
        <v>85.751190762607152</v>
      </c>
      <c r="N234" s="39">
        <f t="shared" si="34"/>
        <v>200.08611177941668</v>
      </c>
    </row>
    <row r="235" spans="1:17" x14ac:dyDescent="0.25">
      <c r="A235" s="56">
        <v>12</v>
      </c>
      <c r="B235" s="57" t="s">
        <v>84</v>
      </c>
      <c r="C235" s="54">
        <f>N202+N203</f>
        <v>0</v>
      </c>
      <c r="D235" s="67">
        <v>0</v>
      </c>
      <c r="E235" s="29"/>
      <c r="F235" s="2"/>
      <c r="G235" s="2"/>
      <c r="H235" s="74">
        <f>SUM(E235+G235)/2</f>
        <v>0</v>
      </c>
      <c r="I235" s="74">
        <f>C235+H235</f>
        <v>0</v>
      </c>
      <c r="J235" s="75">
        <v>1</v>
      </c>
      <c r="K235" s="2"/>
      <c r="L235" s="2"/>
      <c r="M235" s="39">
        <f t="shared" si="33"/>
        <v>0</v>
      </c>
      <c r="N235" s="39">
        <f t="shared" si="34"/>
        <v>0</v>
      </c>
    </row>
    <row r="236" spans="1:17" x14ac:dyDescent="0.25">
      <c r="A236" s="56">
        <v>12</v>
      </c>
      <c r="B236" s="57" t="s">
        <v>83</v>
      </c>
      <c r="C236" s="54">
        <v>0</v>
      </c>
      <c r="D236" s="29">
        <v>0</v>
      </c>
      <c r="E236" s="39">
        <f>Q236-O236</f>
        <v>935183.97999999858</v>
      </c>
      <c r="F236" s="2"/>
      <c r="G236" s="2"/>
      <c r="H236" s="74"/>
      <c r="I236" s="74">
        <f>C236+E236+G236</f>
        <v>935183.97999999858</v>
      </c>
      <c r="J236" s="75">
        <f>J235</f>
        <v>1</v>
      </c>
      <c r="K236" s="2"/>
      <c r="L236" s="2"/>
      <c r="M236" s="39">
        <f t="shared" si="33"/>
        <v>935183.97999999858</v>
      </c>
      <c r="N236" s="39">
        <f t="shared" si="34"/>
        <v>0</v>
      </c>
      <c r="O236" s="42">
        <v>281555.75000000023</v>
      </c>
      <c r="P236" s="25">
        <f>E236+O236</f>
        <v>1216739.7299999988</v>
      </c>
      <c r="Q236" s="25">
        <v>1216739.7299999988</v>
      </c>
    </row>
    <row r="237" spans="1:17" x14ac:dyDescent="0.25">
      <c r="A237" s="56">
        <v>13</v>
      </c>
      <c r="B237" s="57" t="s">
        <v>82</v>
      </c>
      <c r="C237" s="54">
        <f>N204</f>
        <v>-0.19379530336591416</v>
      </c>
      <c r="D237" s="29">
        <v>0</v>
      </c>
      <c r="E237" s="39"/>
      <c r="F237" s="2"/>
      <c r="G237" s="2"/>
      <c r="H237" s="74">
        <v>0</v>
      </c>
      <c r="I237" s="74">
        <f>C237+D237</f>
        <v>-0.19379530336591416</v>
      </c>
      <c r="J237" s="75">
        <v>0</v>
      </c>
      <c r="K237" s="2"/>
      <c r="L237" s="77"/>
      <c r="M237" s="74">
        <f>I237/30*9</f>
        <v>-5.8138591009774247E-2</v>
      </c>
      <c r="N237" s="39">
        <f t="shared" si="34"/>
        <v>-0.13565671235613991</v>
      </c>
    </row>
    <row r="238" spans="1:17" x14ac:dyDescent="0.25">
      <c r="A238" s="56">
        <v>42</v>
      </c>
      <c r="B238" s="56" t="s">
        <v>81</v>
      </c>
      <c r="C238" s="54">
        <f>N205</f>
        <v>1148.8759292292341</v>
      </c>
      <c r="D238" s="29">
        <v>0</v>
      </c>
      <c r="E238" s="39"/>
      <c r="F238" s="2"/>
      <c r="G238" s="2"/>
      <c r="H238" s="74">
        <f>SUM(D238+G238)/2</f>
        <v>0</v>
      </c>
      <c r="I238" s="74">
        <f>C238+H238</f>
        <v>1148.8759292292341</v>
      </c>
      <c r="J238" s="75">
        <v>0.12</v>
      </c>
      <c r="K238" s="2"/>
      <c r="L238" s="2"/>
      <c r="M238" s="39">
        <f t="shared" ref="M238:M244" si="35">I238*J238</f>
        <v>137.86511150750809</v>
      </c>
      <c r="N238" s="39">
        <f t="shared" si="34"/>
        <v>1011.010817721726</v>
      </c>
    </row>
    <row r="239" spans="1:17" x14ac:dyDescent="0.25">
      <c r="A239" s="3">
        <v>45</v>
      </c>
      <c r="B239" s="3" t="s">
        <v>80</v>
      </c>
      <c r="C239" s="54">
        <f>N206</f>
        <v>31.60386565003844</v>
      </c>
      <c r="D239" s="78">
        <v>0</v>
      </c>
      <c r="E239" s="39"/>
      <c r="F239" s="2"/>
      <c r="G239" s="2"/>
      <c r="H239" s="74">
        <f>SUM(D239+G239)/2</f>
        <v>0</v>
      </c>
      <c r="I239" s="74">
        <f>C239+H239</f>
        <v>31.60386565003844</v>
      </c>
      <c r="J239" s="75">
        <v>0.45</v>
      </c>
      <c r="K239" s="2"/>
      <c r="L239" s="2"/>
      <c r="M239" s="39">
        <f t="shared" si="35"/>
        <v>14.221739542517298</v>
      </c>
      <c r="N239" s="39">
        <f t="shared" si="34"/>
        <v>17.382126107521142</v>
      </c>
    </row>
    <row r="240" spans="1:17" ht="15.75" x14ac:dyDescent="0.25">
      <c r="A240" s="56">
        <v>47</v>
      </c>
      <c r="B240" s="56" t="s">
        <v>79</v>
      </c>
      <c r="C240" s="54">
        <f>N207+N208</f>
        <v>185166224.27230138</v>
      </c>
      <c r="D240" s="67">
        <v>0</v>
      </c>
      <c r="E240" s="29"/>
      <c r="F240" s="2">
        <v>0</v>
      </c>
      <c r="G240" s="67">
        <v>0</v>
      </c>
      <c r="H240" s="39">
        <v>0</v>
      </c>
      <c r="I240" s="74">
        <f>C240+H240+G240</f>
        <v>185166224.27230138</v>
      </c>
      <c r="J240" s="75">
        <v>0.08</v>
      </c>
      <c r="K240" s="2"/>
      <c r="L240" s="2"/>
      <c r="M240" s="39">
        <f t="shared" si="35"/>
        <v>14813297.94178411</v>
      </c>
      <c r="N240" s="39">
        <f t="shared" si="34"/>
        <v>170352926.33051726</v>
      </c>
    </row>
    <row r="241" spans="1:17" x14ac:dyDescent="0.25">
      <c r="A241" s="56">
        <v>47</v>
      </c>
      <c r="B241" s="56" t="s">
        <v>78</v>
      </c>
      <c r="C241" s="54">
        <v>0</v>
      </c>
      <c r="D241" s="29">
        <v>0</v>
      </c>
      <c r="E241" s="39">
        <f>Q241-O241</f>
        <v>17903381.602000006</v>
      </c>
      <c r="F241" s="2"/>
      <c r="G241" s="2">
        <v>-271941</v>
      </c>
      <c r="H241" s="74">
        <v>0</v>
      </c>
      <c r="I241" s="74">
        <f>C241+E241+G241</f>
        <v>17631440.602000006</v>
      </c>
      <c r="J241" s="75">
        <f>J240</f>
        <v>0.08</v>
      </c>
      <c r="K241" s="2"/>
      <c r="L241" s="2"/>
      <c r="M241" s="39">
        <f t="shared" si="35"/>
        <v>1410515.2481600004</v>
      </c>
      <c r="N241" s="39">
        <f>H241+I241-M241</f>
        <v>16220925.353840005</v>
      </c>
      <c r="O241" s="42">
        <v>7867855.3599999798</v>
      </c>
      <c r="P241" s="25">
        <f>E241+O241</f>
        <v>25771236.961999986</v>
      </c>
      <c r="Q241" s="25">
        <v>25771236.961999986</v>
      </c>
    </row>
    <row r="242" spans="1:17" x14ac:dyDescent="0.25">
      <c r="A242" s="3">
        <v>50</v>
      </c>
      <c r="B242" s="3" t="s">
        <v>77</v>
      </c>
      <c r="C242" s="54">
        <f>N209+N210</f>
        <v>442117.95075754746</v>
      </c>
      <c r="D242" s="29">
        <v>0</v>
      </c>
      <c r="E242" s="39"/>
      <c r="F242" s="2">
        <v>0</v>
      </c>
      <c r="G242" s="2">
        <v>0</v>
      </c>
      <c r="H242" s="2">
        <v>0</v>
      </c>
      <c r="I242" s="74">
        <f>C242+H242+G242</f>
        <v>442117.95075754746</v>
      </c>
      <c r="J242" s="75">
        <v>0.55000000000000004</v>
      </c>
      <c r="K242" s="2"/>
      <c r="L242" s="2"/>
      <c r="M242" s="39">
        <f t="shared" si="35"/>
        <v>243164.87291665113</v>
      </c>
      <c r="N242" s="39">
        <f>H242+I242-M242</f>
        <v>198953.07784089632</v>
      </c>
    </row>
    <row r="243" spans="1:17" x14ac:dyDescent="0.25">
      <c r="A243" s="58">
        <v>50</v>
      </c>
      <c r="B243" s="3" t="s">
        <v>76</v>
      </c>
      <c r="C243" s="54">
        <v>0</v>
      </c>
      <c r="D243" s="29">
        <v>0</v>
      </c>
      <c r="E243" s="39">
        <f>Q243-O243</f>
        <v>2056192.9699999997</v>
      </c>
      <c r="F243" s="5"/>
      <c r="G243" s="5">
        <v>0</v>
      </c>
      <c r="H243" s="39"/>
      <c r="I243" s="74">
        <f>C243+E243+G243</f>
        <v>2056192.9699999997</v>
      </c>
      <c r="J243" s="75">
        <f>J242</f>
        <v>0.55000000000000004</v>
      </c>
      <c r="K243" s="5"/>
      <c r="L243" s="5"/>
      <c r="M243" s="39">
        <f t="shared" si="35"/>
        <v>1130906.1335</v>
      </c>
      <c r="N243" s="39">
        <f>H243+I243-M243</f>
        <v>925286.83649999974</v>
      </c>
      <c r="O243" s="42">
        <v>768757.60000000009</v>
      </c>
      <c r="P243" s="25">
        <f>E243+O243</f>
        <v>2824950.57</v>
      </c>
      <c r="Q243" s="25">
        <v>2824950.57</v>
      </c>
    </row>
    <row r="244" spans="1:17" x14ac:dyDescent="0.25">
      <c r="A244" s="59">
        <v>43.2</v>
      </c>
      <c r="B244" s="79" t="s">
        <v>75</v>
      </c>
      <c r="C244" s="54">
        <f>N211</f>
        <v>696.59915768280553</v>
      </c>
      <c r="D244" s="29">
        <v>0</v>
      </c>
      <c r="E244" s="39"/>
      <c r="F244" s="5"/>
      <c r="G244" s="5"/>
      <c r="H244" s="39">
        <f>SUM(D244+G244)/2</f>
        <v>0</v>
      </c>
      <c r="I244" s="74">
        <f>C244+H244</f>
        <v>696.59915768280553</v>
      </c>
      <c r="J244" s="75">
        <v>0.5</v>
      </c>
      <c r="K244" s="5"/>
      <c r="L244" s="5"/>
      <c r="M244" s="39">
        <f t="shared" si="35"/>
        <v>348.29957884140276</v>
      </c>
      <c r="N244" s="39">
        <f>H244+I244-M244</f>
        <v>348.29957884140276</v>
      </c>
    </row>
    <row r="245" spans="1:17" x14ac:dyDescent="0.25">
      <c r="A245" s="59">
        <v>43.2</v>
      </c>
      <c r="B245" s="79" t="s">
        <v>75</v>
      </c>
      <c r="C245" s="54">
        <v>0</v>
      </c>
      <c r="D245" s="2">
        <v>0</v>
      </c>
      <c r="E245" s="39">
        <v>0</v>
      </c>
      <c r="F245" s="5"/>
      <c r="G245" s="5"/>
      <c r="H245" s="39"/>
      <c r="I245" s="74"/>
      <c r="J245" s="75">
        <v>0.75</v>
      </c>
      <c r="K245" s="5"/>
      <c r="L245" s="5"/>
      <c r="M245" s="39"/>
      <c r="N245" s="39"/>
    </row>
    <row r="246" spans="1:17" x14ac:dyDescent="0.25">
      <c r="A246" s="59">
        <v>46</v>
      </c>
      <c r="B246" s="79" t="s">
        <v>134</v>
      </c>
      <c r="C246" s="54">
        <f>SUM(N213:N214)</f>
        <v>169414.83900000001</v>
      </c>
      <c r="D246" s="2"/>
      <c r="E246" s="39"/>
      <c r="F246" s="5"/>
      <c r="G246" s="5"/>
      <c r="H246" s="39"/>
      <c r="I246" s="74">
        <f>C246+H246</f>
        <v>169414.83900000001</v>
      </c>
      <c r="J246" s="75">
        <v>0.3</v>
      </c>
      <c r="K246" s="5"/>
      <c r="L246" s="5"/>
      <c r="M246" s="39">
        <f>I246*J246</f>
        <v>50824.451699999998</v>
      </c>
      <c r="N246" s="39">
        <f t="shared" ref="N246:N251" si="36">H246+I246-M246</f>
        <v>118590.3873</v>
      </c>
      <c r="O246" s="68"/>
      <c r="P246"/>
      <c r="Q246"/>
    </row>
    <row r="247" spans="1:17" x14ac:dyDescent="0.25">
      <c r="A247" s="59">
        <v>46</v>
      </c>
      <c r="B247" s="79" t="s">
        <v>135</v>
      </c>
      <c r="C247" s="54">
        <v>0</v>
      </c>
      <c r="D247" s="2"/>
      <c r="E247" s="39">
        <f>Q247-O247</f>
        <v>0</v>
      </c>
      <c r="F247" s="5"/>
      <c r="G247" s="5"/>
      <c r="H247" s="39"/>
      <c r="I247" s="74">
        <f>C247+E247+G247</f>
        <v>0</v>
      </c>
      <c r="J247" s="75">
        <f>J246</f>
        <v>0.3</v>
      </c>
      <c r="K247" s="5"/>
      <c r="L247" s="5"/>
      <c r="M247" s="39">
        <f>(I247*J247)</f>
        <v>0</v>
      </c>
      <c r="N247" s="39">
        <f t="shared" si="36"/>
        <v>0</v>
      </c>
      <c r="O247" s="42">
        <v>0</v>
      </c>
      <c r="P247" s="25">
        <f>E247+O247</f>
        <v>0</v>
      </c>
      <c r="Q247" s="25">
        <v>0</v>
      </c>
    </row>
    <row r="248" spans="1:17" x14ac:dyDescent="0.25">
      <c r="A248" s="59">
        <v>14.1</v>
      </c>
      <c r="B248" s="79" t="s">
        <v>74</v>
      </c>
      <c r="C248" s="54">
        <f>N215</f>
        <v>2684560.5480641052</v>
      </c>
      <c r="D248" s="67">
        <v>0</v>
      </c>
      <c r="E248" s="39"/>
      <c r="F248" s="5"/>
      <c r="G248" s="5"/>
      <c r="H248" s="39"/>
      <c r="I248" s="74">
        <f>C248</f>
        <v>2684560.5480641052</v>
      </c>
      <c r="J248" s="75">
        <v>7.0000000000000007E-2</v>
      </c>
      <c r="K248" s="5"/>
      <c r="L248" s="5"/>
      <c r="M248" s="39">
        <f>I248*J248</f>
        <v>187919.23836448739</v>
      </c>
      <c r="N248" s="39">
        <f t="shared" si="36"/>
        <v>2496641.3096996178</v>
      </c>
    </row>
    <row r="249" spans="1:17" x14ac:dyDescent="0.25">
      <c r="A249" s="59">
        <v>14.1</v>
      </c>
      <c r="B249" s="79" t="s">
        <v>73</v>
      </c>
      <c r="C249" s="54">
        <f>N216+N217</f>
        <v>4554553.671637821</v>
      </c>
      <c r="D249" s="29">
        <v>0</v>
      </c>
      <c r="E249" s="39"/>
      <c r="F249" s="5"/>
      <c r="G249" s="5"/>
      <c r="H249" s="39"/>
      <c r="I249" s="74">
        <f>C249+E249+G249</f>
        <v>4554553.671637821</v>
      </c>
      <c r="J249" s="75">
        <v>0.05</v>
      </c>
      <c r="K249" s="5"/>
      <c r="L249" s="5"/>
      <c r="M249" s="39">
        <f>I249*J249</f>
        <v>227727.68358189106</v>
      </c>
      <c r="N249" s="39">
        <f t="shared" si="36"/>
        <v>4326825.9880559295</v>
      </c>
    </row>
    <row r="250" spans="1:17" x14ac:dyDescent="0.25">
      <c r="A250" s="59">
        <v>14.1</v>
      </c>
      <c r="B250" s="79" t="s">
        <v>96</v>
      </c>
      <c r="C250" s="54">
        <v>0</v>
      </c>
      <c r="D250" s="29"/>
      <c r="E250" s="39">
        <f>Q250-O250</f>
        <v>0</v>
      </c>
      <c r="F250" s="5"/>
      <c r="G250" s="5"/>
      <c r="H250" s="39"/>
      <c r="I250" s="74">
        <f>C250+E250+G250</f>
        <v>0</v>
      </c>
      <c r="J250" s="75">
        <f>J249</f>
        <v>0.05</v>
      </c>
      <c r="K250" s="5"/>
      <c r="L250" s="5"/>
      <c r="M250" s="39">
        <f>I250*J250</f>
        <v>0</v>
      </c>
      <c r="N250" s="39">
        <f t="shared" si="36"/>
        <v>0</v>
      </c>
      <c r="O250" s="42">
        <v>0</v>
      </c>
      <c r="P250" s="25">
        <f>E250+O250</f>
        <v>0</v>
      </c>
      <c r="Q250" s="25">
        <v>0</v>
      </c>
    </row>
    <row r="251" spans="1:17" ht="15.75" x14ac:dyDescent="0.25">
      <c r="A251" s="60">
        <v>95</v>
      </c>
      <c r="B251" s="60" t="s">
        <v>10</v>
      </c>
      <c r="C251" s="54">
        <f>N218</f>
        <v>0</v>
      </c>
      <c r="D251" s="29">
        <v>0</v>
      </c>
      <c r="E251" s="39"/>
      <c r="F251" s="2">
        <v>0</v>
      </c>
      <c r="G251" s="81"/>
      <c r="H251" s="39">
        <v>0</v>
      </c>
      <c r="I251" s="39">
        <f>C251+D251+E251+F251</f>
        <v>0</v>
      </c>
      <c r="J251" s="75">
        <v>0</v>
      </c>
      <c r="K251" s="2"/>
      <c r="L251" s="2"/>
      <c r="M251" s="39">
        <f>I251*J251</f>
        <v>0</v>
      </c>
      <c r="N251" s="39">
        <f t="shared" si="36"/>
        <v>0</v>
      </c>
    </row>
    <row r="252" spans="1:17" ht="15.75" thickBot="1" x14ac:dyDescent="0.3">
      <c r="A252" s="61" t="s">
        <v>11</v>
      </c>
      <c r="B252" s="62"/>
      <c r="C252" s="63">
        <f t="shared" ref="C252:I252" si="37">SUM(C224:C251)</f>
        <v>275352954.21384084</v>
      </c>
      <c r="D252" s="64">
        <f t="shared" si="37"/>
        <v>0</v>
      </c>
      <c r="E252" s="64">
        <f t="shared" si="37"/>
        <v>22881767.082000002</v>
      </c>
      <c r="F252" s="23">
        <f t="shared" si="37"/>
        <v>0</v>
      </c>
      <c r="G252" s="27">
        <f t="shared" si="37"/>
        <v>-316417.09999999998</v>
      </c>
      <c r="H252" s="23">
        <f t="shared" si="37"/>
        <v>0</v>
      </c>
      <c r="I252" s="63">
        <f t="shared" si="37"/>
        <v>297918304.1958409</v>
      </c>
      <c r="J252" s="63" t="s">
        <v>0</v>
      </c>
      <c r="K252" s="63">
        <f t="shared" ref="K252:Q252" si="38">SUM(K224:K251)</f>
        <v>0</v>
      </c>
      <c r="L252" s="63">
        <f t="shared" si="38"/>
        <v>0</v>
      </c>
      <c r="M252" s="63">
        <f t="shared" si="38"/>
        <v>23845421.448768515</v>
      </c>
      <c r="N252" s="63">
        <f t="shared" si="38"/>
        <v>274072882.74707234</v>
      </c>
      <c r="O252" s="42">
        <f t="shared" si="38"/>
        <v>9450080.2399999797</v>
      </c>
      <c r="P252" s="25">
        <f t="shared" si="38"/>
        <v>32331847.321999982</v>
      </c>
      <c r="Q252" s="25">
        <f t="shared" si="38"/>
        <v>32331847.321999982</v>
      </c>
    </row>
    <row r="253" spans="1:17" ht="15.75" thickTop="1" x14ac:dyDescent="0.25">
      <c r="L253" s="67" t="s">
        <v>0</v>
      </c>
      <c r="M253" s="67" t="s">
        <v>0</v>
      </c>
      <c r="O253" s="90" t="s">
        <v>0</v>
      </c>
    </row>
    <row r="254" spans="1:17" x14ac:dyDescent="0.25">
      <c r="A254" s="68">
        <v>2025</v>
      </c>
      <c r="B254" s="68" t="s">
        <v>165</v>
      </c>
      <c r="M254" s="67" t="s">
        <v>0</v>
      </c>
      <c r="N254" s="42" t="s">
        <v>0</v>
      </c>
      <c r="O254" s="42" t="s">
        <v>0</v>
      </c>
    </row>
    <row r="255" spans="1:17" ht="45" customHeight="1" x14ac:dyDescent="0.25">
      <c r="A255" s="53" t="s">
        <v>2</v>
      </c>
      <c r="B255" s="53" t="s">
        <v>3</v>
      </c>
      <c r="C255" s="53" t="s">
        <v>121</v>
      </c>
      <c r="D255" s="69" t="s">
        <v>0</v>
      </c>
      <c r="E255" s="69" t="s">
        <v>133</v>
      </c>
      <c r="F255" s="69" t="s">
        <v>4</v>
      </c>
      <c r="G255" s="69" t="s">
        <v>12</v>
      </c>
      <c r="H255" s="69" t="s">
        <v>5</v>
      </c>
      <c r="I255" s="69" t="s">
        <v>6</v>
      </c>
      <c r="J255" s="69" t="s">
        <v>57</v>
      </c>
      <c r="K255" s="69" t="s">
        <v>58</v>
      </c>
      <c r="L255" s="69" t="s">
        <v>7</v>
      </c>
      <c r="M255" s="69" t="s">
        <v>61</v>
      </c>
      <c r="N255" s="69" t="s">
        <v>8</v>
      </c>
      <c r="O255" s="85" t="s">
        <v>108</v>
      </c>
      <c r="P255" s="41" t="s">
        <v>11</v>
      </c>
      <c r="Q255" s="94" t="s">
        <v>155</v>
      </c>
    </row>
    <row r="256" spans="1:17" x14ac:dyDescent="0.25">
      <c r="A256" s="53"/>
      <c r="B256" s="53"/>
      <c r="C256" s="70"/>
      <c r="D256" s="28"/>
      <c r="E256" s="39"/>
      <c r="F256" s="1"/>
      <c r="G256" s="1"/>
      <c r="H256" s="1"/>
      <c r="I256" s="71"/>
      <c r="J256" s="72"/>
      <c r="K256" s="1"/>
      <c r="L256" s="1"/>
      <c r="M256" s="73"/>
      <c r="N256" s="73"/>
    </row>
    <row r="257" spans="1:17" x14ac:dyDescent="0.25">
      <c r="A257" s="3">
        <v>1</v>
      </c>
      <c r="B257" s="3" t="s">
        <v>94</v>
      </c>
      <c r="C257" s="54">
        <f>N224</f>
        <v>62598145.044853814</v>
      </c>
      <c r="D257" s="29">
        <v>0</v>
      </c>
      <c r="E257" s="39"/>
      <c r="F257" s="2"/>
      <c r="G257" s="2"/>
      <c r="H257" s="39">
        <f>SUM(D257+G257)/2</f>
        <v>0</v>
      </c>
      <c r="I257" s="74">
        <f>C257+H257</f>
        <v>62598145.044853814</v>
      </c>
      <c r="J257" s="75">
        <v>0.04</v>
      </c>
      <c r="K257" s="2"/>
      <c r="L257" s="2"/>
      <c r="M257" s="39">
        <f>I257*J257</f>
        <v>2503925.8017941527</v>
      </c>
      <c r="N257" s="39">
        <f>H257+I257-M257</f>
        <v>60094219.243059665</v>
      </c>
    </row>
    <row r="258" spans="1:17" x14ac:dyDescent="0.25">
      <c r="A258" s="55" t="s">
        <v>92</v>
      </c>
      <c r="B258" s="3" t="s">
        <v>93</v>
      </c>
      <c r="C258" s="54">
        <f>N225+N226</f>
        <v>12429657.582158653</v>
      </c>
      <c r="D258" s="29">
        <v>0</v>
      </c>
      <c r="E258" s="39">
        <v>0</v>
      </c>
      <c r="F258" s="2" t="s">
        <v>0</v>
      </c>
      <c r="G258" s="2"/>
      <c r="H258" s="74">
        <f>SUM(D258+G258)/2</f>
        <v>0</v>
      </c>
      <c r="I258" s="74">
        <f>C258+H258</f>
        <v>12429657.582158653</v>
      </c>
      <c r="J258" s="75">
        <v>0.06</v>
      </c>
      <c r="K258" s="2"/>
      <c r="L258" s="2"/>
      <c r="M258" s="39">
        <f t="shared" ref="M258:M269" si="39">I258*J258</f>
        <v>745779.45492951921</v>
      </c>
      <c r="N258" s="39">
        <f>H258+I258-M258</f>
        <v>11683878.127229134</v>
      </c>
    </row>
    <row r="259" spans="1:17" x14ac:dyDescent="0.25">
      <c r="A259" s="55" t="s">
        <v>92</v>
      </c>
      <c r="B259" s="3" t="s">
        <v>91</v>
      </c>
      <c r="C259" s="54">
        <v>0</v>
      </c>
      <c r="D259" s="29">
        <v>0</v>
      </c>
      <c r="E259" s="39">
        <f>Q259-O259</f>
        <v>383175.45000000112</v>
      </c>
      <c r="F259" s="2"/>
      <c r="G259" s="2"/>
      <c r="H259" s="74">
        <f>SUM(D259+G259)/2</f>
        <v>0</v>
      </c>
      <c r="I259" s="74">
        <f>C259+E259+G259</f>
        <v>383175.45000000112</v>
      </c>
      <c r="J259" s="75">
        <f>J258*1.5</f>
        <v>0.09</v>
      </c>
      <c r="K259" s="2"/>
      <c r="L259" s="2"/>
      <c r="M259" s="39">
        <f>I259*J259</f>
        <v>34485.790500000097</v>
      </c>
      <c r="N259" s="39">
        <f>H259+I259-M259</f>
        <v>348689.659500001</v>
      </c>
      <c r="O259" s="97">
        <v>77282.340000000084</v>
      </c>
      <c r="P259" s="25">
        <f>E259+O259</f>
        <v>460457.7900000012</v>
      </c>
      <c r="Q259" s="95">
        <v>460457.7900000012</v>
      </c>
    </row>
    <row r="260" spans="1:17" x14ac:dyDescent="0.25">
      <c r="A260" s="56">
        <v>8</v>
      </c>
      <c r="B260" s="56" t="s">
        <v>90</v>
      </c>
      <c r="C260" s="54">
        <f>N227+N228</f>
        <v>2483568.7534459243</v>
      </c>
      <c r="D260" s="67">
        <v>0</v>
      </c>
      <c r="E260" s="29"/>
      <c r="F260" s="2"/>
      <c r="G260" s="2"/>
      <c r="H260" s="74">
        <f>SUM(E260+G260)/2</f>
        <v>0</v>
      </c>
      <c r="I260" s="74">
        <f>C260+H260</f>
        <v>2483568.7534459243</v>
      </c>
      <c r="J260" s="75">
        <v>0.2</v>
      </c>
      <c r="K260" s="2"/>
      <c r="L260" s="2"/>
      <c r="M260" s="39">
        <f t="shared" si="39"/>
        <v>496713.75068918488</v>
      </c>
      <c r="N260" s="39">
        <f t="shared" ref="N260:N273" si="40">H260+I260-M260</f>
        <v>1986855.0027567395</v>
      </c>
      <c r="O260" s="97"/>
      <c r="Q260" s="95"/>
    </row>
    <row r="261" spans="1:17" x14ac:dyDescent="0.25">
      <c r="A261" s="56">
        <v>8</v>
      </c>
      <c r="B261" s="56" t="s">
        <v>62</v>
      </c>
      <c r="C261" s="54">
        <v>0</v>
      </c>
      <c r="D261" s="29">
        <v>0</v>
      </c>
      <c r="E261" s="39">
        <f>Q261-O261</f>
        <v>1857227.2499999988</v>
      </c>
      <c r="F261" s="2"/>
      <c r="G261" s="2"/>
      <c r="H261" s="39"/>
      <c r="I261" s="74">
        <f>C261+E261+G261</f>
        <v>1857227.2499999988</v>
      </c>
      <c r="J261" s="75">
        <f>J260*1.5</f>
        <v>0.30000000000000004</v>
      </c>
      <c r="K261" s="2"/>
      <c r="L261" s="2"/>
      <c r="M261" s="39">
        <f t="shared" si="39"/>
        <v>557168.1749999997</v>
      </c>
      <c r="N261" s="39">
        <f t="shared" si="40"/>
        <v>1300059.0749999993</v>
      </c>
      <c r="O261" s="97">
        <v>255217.0399999998</v>
      </c>
      <c r="P261" s="25">
        <f>E261+O261</f>
        <v>2112444.2899999986</v>
      </c>
      <c r="Q261" s="95">
        <v>2112444.2899999986</v>
      </c>
    </row>
    <row r="262" spans="1:17" x14ac:dyDescent="0.25">
      <c r="A262" s="3">
        <v>10</v>
      </c>
      <c r="B262" s="3" t="s">
        <v>9</v>
      </c>
      <c r="C262" s="54">
        <f>N229+N230</f>
        <v>1919451.9148828827</v>
      </c>
      <c r="D262" s="29">
        <v>0</v>
      </c>
      <c r="E262" s="39"/>
      <c r="F262" s="2"/>
      <c r="G262" s="2">
        <v>0</v>
      </c>
      <c r="H262" s="39">
        <v>0</v>
      </c>
      <c r="I262" s="74">
        <f>C262+H262+G262</f>
        <v>1919451.9148828827</v>
      </c>
      <c r="J262" s="75">
        <v>0.3</v>
      </c>
      <c r="K262" s="2"/>
      <c r="L262" s="2"/>
      <c r="M262" s="39">
        <f t="shared" si="39"/>
        <v>575835.5744648648</v>
      </c>
      <c r="N262" s="39">
        <f t="shared" si="40"/>
        <v>1343616.3404180179</v>
      </c>
      <c r="O262" s="97"/>
      <c r="Q262" s="95"/>
    </row>
    <row r="263" spans="1:17" x14ac:dyDescent="0.25">
      <c r="A263" s="3">
        <v>10</v>
      </c>
      <c r="B263" s="3" t="s">
        <v>89</v>
      </c>
      <c r="C263" s="54">
        <v>0</v>
      </c>
      <c r="D263" s="29">
        <v>0</v>
      </c>
      <c r="E263" s="39">
        <f>Q263-O263</f>
        <v>1934467.6500000006</v>
      </c>
      <c r="F263" s="2"/>
      <c r="G263" s="2">
        <v>-26549</v>
      </c>
      <c r="H263" s="39"/>
      <c r="I263" s="74">
        <f>C263+E263+G263</f>
        <v>1907918.6500000006</v>
      </c>
      <c r="J263" s="75">
        <f>J262*1.5</f>
        <v>0.44999999999999996</v>
      </c>
      <c r="K263" s="2"/>
      <c r="L263" s="2"/>
      <c r="M263" s="39">
        <f t="shared" si="39"/>
        <v>858563.39250000019</v>
      </c>
      <c r="N263" s="39">
        <f t="shared" si="40"/>
        <v>1049355.2575000003</v>
      </c>
      <c r="O263" s="97">
        <v>870616.65999999992</v>
      </c>
      <c r="P263" s="25">
        <f>E263+O263</f>
        <v>2805084.3100000005</v>
      </c>
      <c r="Q263" s="95">
        <v>2805084.3100000005</v>
      </c>
    </row>
    <row r="264" spans="1:17" x14ac:dyDescent="0.25">
      <c r="A264" s="56">
        <v>10.1</v>
      </c>
      <c r="B264" s="3" t="s">
        <v>88</v>
      </c>
      <c r="C264" s="54">
        <f>N231</f>
        <v>96.640731599664321</v>
      </c>
      <c r="D264" s="29">
        <v>0</v>
      </c>
      <c r="E264" s="39"/>
      <c r="F264" s="2"/>
      <c r="G264" s="2"/>
      <c r="H264" s="39">
        <f>SUM(D264+G264)/2</f>
        <v>0</v>
      </c>
      <c r="I264" s="74">
        <f>C264+H264</f>
        <v>96.640731599664321</v>
      </c>
      <c r="J264" s="75">
        <v>0.3</v>
      </c>
      <c r="K264" s="2"/>
      <c r="L264" s="2"/>
      <c r="M264" s="39">
        <f t="shared" si="39"/>
        <v>28.992219479899294</v>
      </c>
      <c r="N264" s="39">
        <f t="shared" si="40"/>
        <v>67.64851211976503</v>
      </c>
      <c r="O264" s="97"/>
      <c r="Q264" s="95"/>
    </row>
    <row r="265" spans="1:17" x14ac:dyDescent="0.25">
      <c r="A265" s="56">
        <v>10.1</v>
      </c>
      <c r="B265" s="3" t="s">
        <v>87</v>
      </c>
      <c r="C265" s="54">
        <f>N232</f>
        <v>96.815726134023194</v>
      </c>
      <c r="D265" s="29">
        <v>0</v>
      </c>
      <c r="E265" s="39"/>
      <c r="F265" s="2"/>
      <c r="G265" s="2"/>
      <c r="H265" s="39">
        <f>SUM(D265+G265)/2</f>
        <v>0</v>
      </c>
      <c r="I265" s="74">
        <f>C265+H265</f>
        <v>96.815726134023194</v>
      </c>
      <c r="J265" s="75">
        <v>0.3</v>
      </c>
      <c r="K265" s="2"/>
      <c r="L265" s="2"/>
      <c r="M265" s="39">
        <f t="shared" si="39"/>
        <v>29.044717840206957</v>
      </c>
      <c r="N265" s="39">
        <f t="shared" si="40"/>
        <v>67.771008293816237</v>
      </c>
      <c r="O265" s="97"/>
      <c r="Q265" s="95"/>
    </row>
    <row r="266" spans="1:17" x14ac:dyDescent="0.25">
      <c r="A266" s="56">
        <v>10.1</v>
      </c>
      <c r="B266" s="3" t="s">
        <v>86</v>
      </c>
      <c r="C266" s="54">
        <f>N233</f>
        <v>140.06854187638086</v>
      </c>
      <c r="D266" s="29">
        <v>0</v>
      </c>
      <c r="E266" s="39"/>
      <c r="F266" s="2"/>
      <c r="G266" s="2"/>
      <c r="H266" s="39">
        <f>SUM(D266+G266)/2</f>
        <v>0</v>
      </c>
      <c r="I266" s="74">
        <f>C266+H266</f>
        <v>140.06854187638086</v>
      </c>
      <c r="J266" s="75">
        <v>0.3</v>
      </c>
      <c r="K266" s="2"/>
      <c r="L266" s="2"/>
      <c r="M266" s="39">
        <f t="shared" si="39"/>
        <v>42.020562562914257</v>
      </c>
      <c r="N266" s="39">
        <f t="shared" si="40"/>
        <v>98.047979313466612</v>
      </c>
      <c r="O266" s="97"/>
      <c r="Q266" s="95"/>
    </row>
    <row r="267" spans="1:17" x14ac:dyDescent="0.25">
      <c r="A267" s="56">
        <v>10.1</v>
      </c>
      <c r="B267" s="3" t="s">
        <v>85</v>
      </c>
      <c r="C267" s="54">
        <f>N234</f>
        <v>200.08611177941668</v>
      </c>
      <c r="D267" s="29">
        <v>0</v>
      </c>
      <c r="E267" s="39"/>
      <c r="F267" s="2"/>
      <c r="G267" s="2"/>
      <c r="H267" s="39">
        <f>SUM(D267+G267)/2</f>
        <v>0</v>
      </c>
      <c r="I267" s="74">
        <f>C267+H267</f>
        <v>200.08611177941668</v>
      </c>
      <c r="J267" s="75">
        <v>0.3</v>
      </c>
      <c r="K267" s="2"/>
      <c r="L267" s="2"/>
      <c r="M267" s="39">
        <f t="shared" si="39"/>
        <v>60.025833533825001</v>
      </c>
      <c r="N267" s="39">
        <f t="shared" si="40"/>
        <v>140.06027824559169</v>
      </c>
      <c r="O267" s="97"/>
      <c r="Q267" s="95"/>
    </row>
    <row r="268" spans="1:17" x14ac:dyDescent="0.25">
      <c r="A268" s="56">
        <v>12</v>
      </c>
      <c r="B268" s="57" t="s">
        <v>84</v>
      </c>
      <c r="C268" s="54">
        <f>N235+N236</f>
        <v>0</v>
      </c>
      <c r="D268" s="67">
        <v>0</v>
      </c>
      <c r="E268" s="29"/>
      <c r="F268" s="2"/>
      <c r="G268" s="2"/>
      <c r="H268" s="74">
        <f>SUM(E268+G268)/2</f>
        <v>0</v>
      </c>
      <c r="I268" s="74">
        <f>C268+H268</f>
        <v>0</v>
      </c>
      <c r="J268" s="75">
        <v>1</v>
      </c>
      <c r="K268" s="2"/>
      <c r="L268" s="2"/>
      <c r="M268" s="39">
        <f t="shared" si="39"/>
        <v>0</v>
      </c>
      <c r="N268" s="39">
        <f t="shared" si="40"/>
        <v>0</v>
      </c>
      <c r="O268" s="97"/>
      <c r="Q268" s="95"/>
    </row>
    <row r="269" spans="1:17" x14ac:dyDescent="0.25">
      <c r="A269" s="56">
        <v>12</v>
      </c>
      <c r="B269" s="57" t="s">
        <v>83</v>
      </c>
      <c r="C269" s="54">
        <v>0</v>
      </c>
      <c r="D269" s="29">
        <v>0</v>
      </c>
      <c r="E269" s="39">
        <f>Q269-O269</f>
        <v>1210879.2000000011</v>
      </c>
      <c r="F269" s="2"/>
      <c r="G269" s="2"/>
      <c r="H269" s="74"/>
      <c r="I269" s="74">
        <f>C269+E269+G269</f>
        <v>1210879.2000000011</v>
      </c>
      <c r="J269" s="75">
        <f>J268</f>
        <v>1</v>
      </c>
      <c r="K269" s="2"/>
      <c r="L269" s="2"/>
      <c r="M269" s="39">
        <f t="shared" si="39"/>
        <v>1210879.2000000011</v>
      </c>
      <c r="N269" s="39">
        <f t="shared" si="40"/>
        <v>0</v>
      </c>
      <c r="O269" s="97">
        <v>336357.07999999914</v>
      </c>
      <c r="P269" s="25">
        <f>E269+O269</f>
        <v>1547236.2800000003</v>
      </c>
      <c r="Q269" s="95">
        <v>1547236.2800000003</v>
      </c>
    </row>
    <row r="270" spans="1:17" x14ac:dyDescent="0.25">
      <c r="A270" s="56">
        <v>13</v>
      </c>
      <c r="B270" s="57" t="s">
        <v>82</v>
      </c>
      <c r="C270" s="54">
        <f>N237</f>
        <v>-0.13565671235613991</v>
      </c>
      <c r="D270" s="29">
        <v>0</v>
      </c>
      <c r="E270" s="39"/>
      <c r="F270" s="2"/>
      <c r="G270" s="2"/>
      <c r="H270" s="74">
        <v>0</v>
      </c>
      <c r="I270" s="74">
        <f>C270+D270</f>
        <v>-0.13565671235613991</v>
      </c>
      <c r="J270" s="75">
        <v>0</v>
      </c>
      <c r="K270" s="2"/>
      <c r="L270" s="77"/>
      <c r="M270" s="74">
        <f>I270/30*9</f>
        <v>-4.0697013706841971E-2</v>
      </c>
      <c r="N270" s="39">
        <f t="shared" si="40"/>
        <v>-9.495969864929793E-2</v>
      </c>
      <c r="O270" s="97"/>
      <c r="Q270" s="95"/>
    </row>
    <row r="271" spans="1:17" x14ac:dyDescent="0.25">
      <c r="A271" s="56">
        <v>42</v>
      </c>
      <c r="B271" s="56" t="s">
        <v>81</v>
      </c>
      <c r="C271" s="54">
        <f>N238</f>
        <v>1011.010817721726</v>
      </c>
      <c r="D271" s="29">
        <v>0</v>
      </c>
      <c r="E271" s="39"/>
      <c r="F271" s="2"/>
      <c r="G271" s="2"/>
      <c r="H271" s="74">
        <f>SUM(D271+G271)/2</f>
        <v>0</v>
      </c>
      <c r="I271" s="74">
        <f>C271+H271</f>
        <v>1011.010817721726</v>
      </c>
      <c r="J271" s="75">
        <v>0.12</v>
      </c>
      <c r="K271" s="2"/>
      <c r="L271" s="2"/>
      <c r="M271" s="39">
        <f t="shared" ref="M271:M277" si="41">I271*J271</f>
        <v>121.32129812660712</v>
      </c>
      <c r="N271" s="39">
        <f t="shared" si="40"/>
        <v>889.6895195951189</v>
      </c>
      <c r="O271" s="97"/>
      <c r="Q271" s="95"/>
    </row>
    <row r="272" spans="1:17" x14ac:dyDescent="0.25">
      <c r="A272" s="3">
        <v>45</v>
      </c>
      <c r="B272" s="3" t="s">
        <v>80</v>
      </c>
      <c r="C272" s="54">
        <f>N239</f>
        <v>17.382126107521142</v>
      </c>
      <c r="D272" s="78">
        <v>0</v>
      </c>
      <c r="E272" s="39"/>
      <c r="F272" s="2"/>
      <c r="G272" s="2"/>
      <c r="H272" s="74">
        <f>SUM(D272+G272)/2</f>
        <v>0</v>
      </c>
      <c r="I272" s="74">
        <f>C272+H272</f>
        <v>17.382126107521142</v>
      </c>
      <c r="J272" s="75">
        <v>0.45</v>
      </c>
      <c r="K272" s="2"/>
      <c r="L272" s="2"/>
      <c r="M272" s="39">
        <f t="shared" si="41"/>
        <v>7.8219567483845136</v>
      </c>
      <c r="N272" s="39">
        <f t="shared" si="40"/>
        <v>9.5601693591366281</v>
      </c>
      <c r="O272" s="97"/>
      <c r="Q272" s="95"/>
    </row>
    <row r="273" spans="1:17" ht="15.75" x14ac:dyDescent="0.25">
      <c r="A273" s="56">
        <v>47</v>
      </c>
      <c r="B273" s="56" t="s">
        <v>79</v>
      </c>
      <c r="C273" s="54">
        <f>N240+N241</f>
        <v>186573851.68435726</v>
      </c>
      <c r="D273" s="67">
        <v>0</v>
      </c>
      <c r="E273" s="29"/>
      <c r="F273" s="2">
        <v>0</v>
      </c>
      <c r="G273" s="67">
        <v>0</v>
      </c>
      <c r="H273" s="39">
        <v>0</v>
      </c>
      <c r="I273" s="74">
        <f>C273+H273+G273</f>
        <v>186573851.68435726</v>
      </c>
      <c r="J273" s="75">
        <v>0.08</v>
      </c>
      <c r="K273" s="2"/>
      <c r="L273" s="2"/>
      <c r="M273" s="39">
        <f t="shared" si="41"/>
        <v>14925908.13474858</v>
      </c>
      <c r="N273" s="39">
        <f t="shared" si="40"/>
        <v>171647943.54960868</v>
      </c>
      <c r="O273" s="97"/>
      <c r="Q273" s="95"/>
    </row>
    <row r="274" spans="1:17" x14ac:dyDescent="0.25">
      <c r="A274" s="56">
        <v>47</v>
      </c>
      <c r="B274" s="56" t="s">
        <v>78</v>
      </c>
      <c r="C274" s="54">
        <v>0</v>
      </c>
      <c r="D274" s="29">
        <v>0</v>
      </c>
      <c r="E274" s="39">
        <f>Q274-O274</f>
        <v>35030671.508999996</v>
      </c>
      <c r="F274" s="2"/>
      <c r="G274" s="2">
        <v>-260830</v>
      </c>
      <c r="H274" s="74">
        <v>0</v>
      </c>
      <c r="I274" s="74">
        <f>C274+E274+G274</f>
        <v>34769841.508999996</v>
      </c>
      <c r="J274" s="75">
        <f>J273*1.5</f>
        <v>0.12</v>
      </c>
      <c r="K274" s="2"/>
      <c r="L274" s="2"/>
      <c r="M274" s="39">
        <f t="shared" si="41"/>
        <v>4172380.9810799994</v>
      </c>
      <c r="N274" s="39">
        <f>H274+I274-M274</f>
        <v>30597460.527919997</v>
      </c>
      <c r="O274" s="97">
        <v>8452809.5700000376</v>
      </c>
      <c r="P274" s="25">
        <f>E274+O274</f>
        <v>43483481.079000033</v>
      </c>
      <c r="Q274" s="95">
        <v>43483481.079000033</v>
      </c>
    </row>
    <row r="275" spans="1:17" x14ac:dyDescent="0.25">
      <c r="A275" s="3">
        <v>50</v>
      </c>
      <c r="B275" s="3" t="s">
        <v>77</v>
      </c>
      <c r="C275" s="54">
        <f>N242+N243</f>
        <v>1124239.9143408961</v>
      </c>
      <c r="D275" s="29">
        <v>0</v>
      </c>
      <c r="E275" s="39"/>
      <c r="F275" s="2">
        <v>0</v>
      </c>
      <c r="G275" s="2">
        <v>0</v>
      </c>
      <c r="H275" s="2">
        <v>0</v>
      </c>
      <c r="I275" s="74">
        <f>C275+H275+G275</f>
        <v>1124239.9143408961</v>
      </c>
      <c r="J275" s="75">
        <v>0.55000000000000004</v>
      </c>
      <c r="K275" s="2"/>
      <c r="L275" s="2"/>
      <c r="M275" s="39">
        <f t="shared" si="41"/>
        <v>618331.95288749284</v>
      </c>
      <c r="N275" s="39">
        <f>H275+I275-M275</f>
        <v>505907.96145340323</v>
      </c>
      <c r="O275" s="97"/>
      <c r="Q275" s="95"/>
    </row>
    <row r="276" spans="1:17" x14ac:dyDescent="0.25">
      <c r="A276" s="58">
        <v>50</v>
      </c>
      <c r="B276" s="3" t="s">
        <v>76</v>
      </c>
      <c r="C276" s="54">
        <v>0</v>
      </c>
      <c r="D276" s="29">
        <v>0</v>
      </c>
      <c r="E276" s="39">
        <f>Q276-O276</f>
        <v>771409.70000000065</v>
      </c>
      <c r="F276" s="5"/>
      <c r="G276" s="5">
        <v>0</v>
      </c>
      <c r="H276" s="39"/>
      <c r="I276" s="74">
        <f>C276+E276+G276-1500000</f>
        <v>-728590.29999999935</v>
      </c>
      <c r="J276" s="75">
        <f>J275*1.5</f>
        <v>0.82500000000000007</v>
      </c>
      <c r="K276" s="5"/>
      <c r="L276" s="5"/>
      <c r="M276" s="39">
        <f>I276*J276+1500000</f>
        <v>898913.00250000053</v>
      </c>
      <c r="N276" s="39">
        <f>I276*(1-J276)</f>
        <v>-127503.30249999983</v>
      </c>
      <c r="O276" s="97">
        <v>3385060.6999999993</v>
      </c>
      <c r="P276" s="25">
        <f>E276+O276</f>
        <v>4156470.4</v>
      </c>
      <c r="Q276" s="95">
        <v>4156470.4</v>
      </c>
    </row>
    <row r="277" spans="1:17" x14ac:dyDescent="0.25">
      <c r="A277" s="59">
        <v>43.2</v>
      </c>
      <c r="B277" s="79" t="s">
        <v>75</v>
      </c>
      <c r="C277" s="54">
        <f>N244</f>
        <v>348.29957884140276</v>
      </c>
      <c r="D277" s="29">
        <v>0</v>
      </c>
      <c r="E277" s="39"/>
      <c r="F277" s="5"/>
      <c r="G277" s="5"/>
      <c r="H277" s="39">
        <f>SUM(D277+G277)/2</f>
        <v>0</v>
      </c>
      <c r="I277" s="74">
        <f>C277+H277</f>
        <v>348.29957884140276</v>
      </c>
      <c r="J277" s="75">
        <v>0.5</v>
      </c>
      <c r="K277" s="5"/>
      <c r="L277" s="5"/>
      <c r="M277" s="39">
        <f t="shared" si="41"/>
        <v>174.14978942070138</v>
      </c>
      <c r="N277" s="39">
        <f>H277+I277-M277</f>
        <v>174.14978942070138</v>
      </c>
      <c r="O277" s="97"/>
      <c r="Q277" s="95"/>
    </row>
    <row r="278" spans="1:17" x14ac:dyDescent="0.25">
      <c r="A278" s="59">
        <v>43.2</v>
      </c>
      <c r="B278" s="79" t="s">
        <v>75</v>
      </c>
      <c r="C278" s="54">
        <v>0</v>
      </c>
      <c r="D278" s="2">
        <v>0</v>
      </c>
      <c r="E278" s="39">
        <v>0</v>
      </c>
      <c r="F278" s="5"/>
      <c r="G278" s="5"/>
      <c r="H278" s="39"/>
      <c r="I278" s="74"/>
      <c r="J278" s="75">
        <f>J277*1.5</f>
        <v>0.75</v>
      </c>
      <c r="K278" s="5"/>
      <c r="L278" s="5"/>
      <c r="M278" s="39">
        <f t="shared" ref="M278" si="42">I278*J278</f>
        <v>0</v>
      </c>
      <c r="N278" s="39">
        <f>H278+I278-M278</f>
        <v>0</v>
      </c>
      <c r="O278" s="97"/>
      <c r="Q278" s="95"/>
    </row>
    <row r="279" spans="1:17" x14ac:dyDescent="0.25">
      <c r="A279" s="59">
        <v>46</v>
      </c>
      <c r="B279" s="79" t="s">
        <v>134</v>
      </c>
      <c r="C279" s="54">
        <f>SUM(N246:N247)</f>
        <v>118590.3873</v>
      </c>
      <c r="D279" s="2"/>
      <c r="E279" s="39"/>
      <c r="F279" s="5"/>
      <c r="G279" s="5"/>
      <c r="H279" s="39"/>
      <c r="I279" s="74">
        <f>C279+H279</f>
        <v>118590.3873</v>
      </c>
      <c r="J279" s="75">
        <v>0.3</v>
      </c>
      <c r="K279" s="5"/>
      <c r="L279" s="5"/>
      <c r="M279" s="39">
        <f>I279*J279</f>
        <v>35577.116190000001</v>
      </c>
      <c r="N279" s="39">
        <f t="shared" ref="N279:N284" si="43">H279+I279-M279</f>
        <v>83013.271110000001</v>
      </c>
      <c r="O279" s="98"/>
      <c r="P279"/>
      <c r="Q279" s="96"/>
    </row>
    <row r="280" spans="1:17" x14ac:dyDescent="0.25">
      <c r="A280" s="59">
        <v>46</v>
      </c>
      <c r="B280" s="79" t="s">
        <v>135</v>
      </c>
      <c r="C280" s="54">
        <v>0</v>
      </c>
      <c r="D280" s="2"/>
      <c r="E280" s="39">
        <f>Q280-O280</f>
        <v>0</v>
      </c>
      <c r="F280" s="5"/>
      <c r="G280" s="5"/>
      <c r="H280" s="39"/>
      <c r="I280" s="74">
        <f>C280+E280+G280</f>
        <v>0</v>
      </c>
      <c r="J280" s="75">
        <f>J279*1.5</f>
        <v>0.44999999999999996</v>
      </c>
      <c r="K280" s="5"/>
      <c r="L280" s="5"/>
      <c r="M280" s="39">
        <f>(I280*J280)</f>
        <v>0</v>
      </c>
      <c r="N280" s="39">
        <f t="shared" si="43"/>
        <v>0</v>
      </c>
      <c r="O280" s="97">
        <v>3689965.62</v>
      </c>
      <c r="P280" s="25">
        <f>E280+O280</f>
        <v>3689965.62</v>
      </c>
      <c r="Q280" s="95">
        <v>3689965.62</v>
      </c>
    </row>
    <row r="281" spans="1:17" x14ac:dyDescent="0.25">
      <c r="A281" s="59">
        <v>14.1</v>
      </c>
      <c r="B281" s="79" t="s">
        <v>74</v>
      </c>
      <c r="C281" s="54">
        <f>N248</f>
        <v>2496641.3096996178</v>
      </c>
      <c r="D281" s="67">
        <v>0</v>
      </c>
      <c r="E281" s="39"/>
      <c r="F281" s="5"/>
      <c r="G281" s="5"/>
      <c r="H281" s="39"/>
      <c r="I281" s="74">
        <f>C281</f>
        <v>2496641.3096996178</v>
      </c>
      <c r="J281" s="75">
        <v>7.0000000000000007E-2</v>
      </c>
      <c r="K281" s="5"/>
      <c r="L281" s="5"/>
      <c r="M281" s="39">
        <f>I281*J281</f>
        <v>174764.89167897328</v>
      </c>
      <c r="N281" s="39">
        <f t="shared" si="43"/>
        <v>2321876.4180206447</v>
      </c>
      <c r="Q281" s="95"/>
    </row>
    <row r="282" spans="1:17" x14ac:dyDescent="0.25">
      <c r="A282" s="59">
        <v>14.1</v>
      </c>
      <c r="B282" s="79" t="s">
        <v>73</v>
      </c>
      <c r="C282" s="54">
        <f>N249+N250</f>
        <v>4326825.9880559295</v>
      </c>
      <c r="D282" s="29">
        <v>0</v>
      </c>
      <c r="E282" s="39"/>
      <c r="F282" s="5"/>
      <c r="G282" s="5"/>
      <c r="H282" s="39"/>
      <c r="I282" s="74">
        <f>C282+E282+G282</f>
        <v>4326825.9880559295</v>
      </c>
      <c r="J282" s="75">
        <v>0.05</v>
      </c>
      <c r="K282" s="5"/>
      <c r="L282" s="5"/>
      <c r="M282" s="39">
        <f>I282*J282</f>
        <v>216341.29940279649</v>
      </c>
      <c r="N282" s="39">
        <f t="shared" si="43"/>
        <v>4110484.6886531329</v>
      </c>
      <c r="Q282" s="95"/>
    </row>
    <row r="283" spans="1:17" x14ac:dyDescent="0.25">
      <c r="A283" s="59">
        <v>14.1</v>
      </c>
      <c r="B283" s="79" t="s">
        <v>96</v>
      </c>
      <c r="C283" s="54">
        <v>0</v>
      </c>
      <c r="D283" s="29"/>
      <c r="E283" s="39">
        <f>Q283-O283</f>
        <v>2350993.11</v>
      </c>
      <c r="F283" s="5"/>
      <c r="G283" s="5"/>
      <c r="H283" s="39"/>
      <c r="I283" s="74">
        <f>C283+E283+G283</f>
        <v>2350993.11</v>
      </c>
      <c r="J283" s="75">
        <f>J282*1.5</f>
        <v>7.5000000000000011E-2</v>
      </c>
      <c r="K283" s="5"/>
      <c r="L283" s="5"/>
      <c r="M283" s="39">
        <f>I283*J283</f>
        <v>176324.48325000002</v>
      </c>
      <c r="N283" s="39">
        <f t="shared" si="43"/>
        <v>2174668.6267499998</v>
      </c>
      <c r="O283" s="42">
        <v>0</v>
      </c>
      <c r="P283" s="25">
        <f>E283+O283</f>
        <v>2350993.11</v>
      </c>
      <c r="Q283" s="95">
        <v>2350993.11</v>
      </c>
    </row>
    <row r="284" spans="1:17" ht="15.75" x14ac:dyDescent="0.25">
      <c r="A284" s="60">
        <v>95</v>
      </c>
      <c r="B284" s="60" t="s">
        <v>10</v>
      </c>
      <c r="C284" s="54">
        <f>N251</f>
        <v>0</v>
      </c>
      <c r="D284" s="29">
        <v>0</v>
      </c>
      <c r="E284" s="39"/>
      <c r="F284" s="2">
        <v>0</v>
      </c>
      <c r="G284" s="81"/>
      <c r="H284" s="39">
        <v>0</v>
      </c>
      <c r="I284" s="39">
        <f>C284+D284+E284+F284</f>
        <v>0</v>
      </c>
      <c r="J284" s="75">
        <v>0</v>
      </c>
      <c r="K284" s="2"/>
      <c r="L284" s="2"/>
      <c r="M284" s="39">
        <f>I284*J284</f>
        <v>0</v>
      </c>
      <c r="N284" s="39">
        <f t="shared" si="43"/>
        <v>0</v>
      </c>
    </row>
    <row r="285" spans="1:17" ht="15.75" thickBot="1" x14ac:dyDescent="0.3">
      <c r="A285" s="61" t="s">
        <v>11</v>
      </c>
      <c r="B285" s="62"/>
      <c r="C285" s="63">
        <f t="shared" ref="C285:I285" si="44">SUM(C257:C284)</f>
        <v>274072882.74707234</v>
      </c>
      <c r="D285" s="64">
        <f t="shared" si="44"/>
        <v>0</v>
      </c>
      <c r="E285" s="64">
        <f t="shared" si="44"/>
        <v>43538823.869000003</v>
      </c>
      <c r="F285" s="23">
        <f t="shared" si="44"/>
        <v>0</v>
      </c>
      <c r="G285" s="27">
        <f t="shared" si="44"/>
        <v>-287379</v>
      </c>
      <c r="H285" s="23">
        <f t="shared" si="44"/>
        <v>0</v>
      </c>
      <c r="I285" s="63">
        <f t="shared" si="44"/>
        <v>315824327.61607236</v>
      </c>
      <c r="J285" s="63" t="s">
        <v>0</v>
      </c>
      <c r="K285" s="63">
        <f t="shared" ref="K285:Q285" si="45">SUM(K257:K284)</f>
        <v>0</v>
      </c>
      <c r="L285" s="63">
        <f t="shared" si="45"/>
        <v>0</v>
      </c>
      <c r="M285" s="63">
        <f t="shared" si="45"/>
        <v>28202356.337296266</v>
      </c>
      <c r="N285" s="63">
        <f t="shared" si="45"/>
        <v>289121971.27877599</v>
      </c>
      <c r="O285" s="42">
        <f>SUM(O257:O284)</f>
        <v>17067309.010000035</v>
      </c>
      <c r="P285" s="25">
        <f t="shared" si="45"/>
        <v>60606132.87900003</v>
      </c>
      <c r="Q285" s="25">
        <f t="shared" si="45"/>
        <v>60606132.87900003</v>
      </c>
    </row>
    <row r="286" spans="1:17" ht="15.75" thickTop="1" x14ac:dyDescent="0.25">
      <c r="L286" s="67" t="s">
        <v>0</v>
      </c>
      <c r="M286" s="67" t="s">
        <v>0</v>
      </c>
    </row>
    <row r="287" spans="1:17" x14ac:dyDescent="0.25">
      <c r="A287" s="68">
        <v>2026</v>
      </c>
      <c r="B287" s="68" t="s">
        <v>116</v>
      </c>
      <c r="M287" s="67" t="s">
        <v>0</v>
      </c>
      <c r="N287" s="42" t="s">
        <v>0</v>
      </c>
      <c r="O287" s="42" t="s">
        <v>0</v>
      </c>
    </row>
    <row r="288" spans="1:17" ht="57.95" customHeight="1" x14ac:dyDescent="0.25">
      <c r="A288" s="53" t="s">
        <v>2</v>
      </c>
      <c r="B288" s="53" t="s">
        <v>3</v>
      </c>
      <c r="C288" s="53" t="s">
        <v>122</v>
      </c>
      <c r="D288" s="69" t="s">
        <v>0</v>
      </c>
      <c r="E288" s="69" t="s">
        <v>126</v>
      </c>
      <c r="F288" s="69" t="s">
        <v>4</v>
      </c>
      <c r="G288" s="69" t="s">
        <v>12</v>
      </c>
      <c r="H288" s="69" t="s">
        <v>5</v>
      </c>
      <c r="I288" s="69" t="s">
        <v>6</v>
      </c>
      <c r="J288" s="69" t="s">
        <v>57</v>
      </c>
      <c r="K288" s="69" t="s">
        <v>58</v>
      </c>
      <c r="L288" s="69" t="s">
        <v>7</v>
      </c>
      <c r="M288" s="69" t="s">
        <v>61</v>
      </c>
      <c r="N288" s="69" t="s">
        <v>8</v>
      </c>
      <c r="O288" s="85" t="s">
        <v>108</v>
      </c>
      <c r="P288" s="41" t="s">
        <v>11</v>
      </c>
      <c r="Q288" s="41" t="s">
        <v>112</v>
      </c>
    </row>
    <row r="289" spans="1:17" x14ac:dyDescent="0.25">
      <c r="A289" s="53"/>
      <c r="B289" s="53"/>
      <c r="C289" s="70"/>
      <c r="D289" s="28"/>
      <c r="E289" s="39"/>
      <c r="F289" s="1"/>
      <c r="G289" s="1"/>
      <c r="H289" s="1"/>
      <c r="I289" s="71"/>
      <c r="J289" s="72"/>
      <c r="K289" s="1"/>
      <c r="L289" s="1"/>
      <c r="M289" s="73"/>
      <c r="N289" s="73"/>
    </row>
    <row r="290" spans="1:17" x14ac:dyDescent="0.25">
      <c r="A290" s="3">
        <v>1</v>
      </c>
      <c r="B290" s="3" t="s">
        <v>94</v>
      </c>
      <c r="C290" s="54">
        <f>N257</f>
        <v>60094219.243059665</v>
      </c>
      <c r="D290" s="29">
        <v>0</v>
      </c>
      <c r="E290" s="39"/>
      <c r="F290" s="2"/>
      <c r="G290" s="2"/>
      <c r="H290" s="39">
        <f>SUM(D290+G290)/2</f>
        <v>0</v>
      </c>
      <c r="I290" s="74">
        <f>C290+H290</f>
        <v>60094219.243059665</v>
      </c>
      <c r="J290" s="75">
        <v>0.04</v>
      </c>
      <c r="K290" s="2"/>
      <c r="L290" s="2"/>
      <c r="M290" s="39">
        <f>I290*J290</f>
        <v>2403768.7697223867</v>
      </c>
      <c r="N290" s="39">
        <f>H290+I290-M290</f>
        <v>57690450.473337278</v>
      </c>
    </row>
    <row r="291" spans="1:17" x14ac:dyDescent="0.25">
      <c r="A291" s="55" t="s">
        <v>92</v>
      </c>
      <c r="B291" s="3" t="s">
        <v>93</v>
      </c>
      <c r="C291" s="54">
        <f>N258+N259</f>
        <v>12032567.786729135</v>
      </c>
      <c r="D291" s="29">
        <v>0</v>
      </c>
      <c r="E291" s="39">
        <v>0</v>
      </c>
      <c r="F291" s="2" t="s">
        <v>0</v>
      </c>
      <c r="G291" s="2"/>
      <c r="H291" s="74">
        <f>SUM(D291+G291)/2</f>
        <v>0</v>
      </c>
      <c r="I291" s="74">
        <f>C291+H291</f>
        <v>12032567.786729135</v>
      </c>
      <c r="J291" s="75">
        <v>0.06</v>
      </c>
      <c r="K291" s="2"/>
      <c r="L291" s="2"/>
      <c r="M291" s="39">
        <f t="shared" ref="M291:M302" si="46">I291*J291</f>
        <v>721954.06720374804</v>
      </c>
      <c r="N291" s="39">
        <f>H291+I291-M291</f>
        <v>11310613.719525386</v>
      </c>
    </row>
    <row r="292" spans="1:17" x14ac:dyDescent="0.25">
      <c r="A292" s="55" t="s">
        <v>92</v>
      </c>
      <c r="B292" s="3" t="s">
        <v>91</v>
      </c>
      <c r="C292" s="54">
        <v>0</v>
      </c>
      <c r="D292" s="29">
        <v>0</v>
      </c>
      <c r="E292" s="39">
        <f>Q292-O292</f>
        <v>115517.78022615744</v>
      </c>
      <c r="F292" s="2"/>
      <c r="G292" s="2"/>
      <c r="H292" s="74">
        <f>SUM(D292+G292)/2</f>
        <v>0</v>
      </c>
      <c r="I292" s="74">
        <f>C292+E292+G292</f>
        <v>115517.78022615744</v>
      </c>
      <c r="J292" s="75">
        <f>J291*1.5</f>
        <v>0.09</v>
      </c>
      <c r="K292" s="2"/>
      <c r="L292" s="2"/>
      <c r="M292" s="39">
        <f t="shared" si="46"/>
        <v>10396.600220354168</v>
      </c>
      <c r="N292" s="39">
        <f>H292+I292-M292</f>
        <v>105121.18000580327</v>
      </c>
      <c r="O292" s="42">
        <v>23298.685673842516</v>
      </c>
      <c r="P292" s="25">
        <f>E292+O292</f>
        <v>138816.46589999995</v>
      </c>
      <c r="Q292" s="25">
        <v>138816.46589999995</v>
      </c>
    </row>
    <row r="293" spans="1:17" x14ac:dyDescent="0.25">
      <c r="A293" s="56">
        <v>8</v>
      </c>
      <c r="B293" s="56" t="s">
        <v>90</v>
      </c>
      <c r="C293" s="54">
        <f>N260+N261</f>
        <v>3286914.0777567388</v>
      </c>
      <c r="D293" s="67">
        <v>0</v>
      </c>
      <c r="E293" s="29"/>
      <c r="F293" s="2"/>
      <c r="G293" s="2"/>
      <c r="H293" s="74">
        <f>SUM(E293+G293)/2</f>
        <v>0</v>
      </c>
      <c r="I293" s="74">
        <f>C293+H293</f>
        <v>3286914.0777567388</v>
      </c>
      <c r="J293" s="75">
        <v>0.2</v>
      </c>
      <c r="K293" s="2"/>
      <c r="L293" s="2"/>
      <c r="M293" s="39">
        <f t="shared" si="46"/>
        <v>657382.8155513478</v>
      </c>
      <c r="N293" s="39">
        <f t="shared" ref="N293:N306" si="47">H293+I293-M293</f>
        <v>2629531.2622053912</v>
      </c>
    </row>
    <row r="294" spans="1:17" x14ac:dyDescent="0.25">
      <c r="A294" s="56">
        <v>8</v>
      </c>
      <c r="B294" s="56" t="s">
        <v>62</v>
      </c>
      <c r="C294" s="54">
        <v>0</v>
      </c>
      <c r="D294" s="29">
        <v>0</v>
      </c>
      <c r="E294" s="39">
        <f>Q294-O294</f>
        <v>42829.90187799096</v>
      </c>
      <c r="F294" s="2"/>
      <c r="G294" s="2"/>
      <c r="H294" s="39"/>
      <c r="I294" s="74">
        <f>C294+E294+G294</f>
        <v>42829.90187799096</v>
      </c>
      <c r="J294" s="75">
        <f>J293*1.5</f>
        <v>0.30000000000000004</v>
      </c>
      <c r="K294" s="2"/>
      <c r="L294" s="2"/>
      <c r="M294" s="39">
        <f t="shared" si="46"/>
        <v>12848.97056339729</v>
      </c>
      <c r="N294" s="39">
        <f t="shared" si="47"/>
        <v>29980.931314593669</v>
      </c>
      <c r="O294" s="42">
        <v>5698.2146520094448</v>
      </c>
      <c r="P294" s="25">
        <f>E294+O294</f>
        <v>48528.116530000407</v>
      </c>
      <c r="Q294" s="25">
        <v>48528.116530000407</v>
      </c>
    </row>
    <row r="295" spans="1:17" x14ac:dyDescent="0.25">
      <c r="A295" s="3">
        <v>10</v>
      </c>
      <c r="B295" s="3" t="s">
        <v>9</v>
      </c>
      <c r="C295" s="54">
        <f>N262+N263</f>
        <v>2392971.5979180182</v>
      </c>
      <c r="D295" s="29">
        <v>0</v>
      </c>
      <c r="E295" s="39"/>
      <c r="F295" s="2"/>
      <c r="G295" s="2">
        <v>0</v>
      </c>
      <c r="H295" s="39">
        <v>0</v>
      </c>
      <c r="I295" s="74">
        <f>C295+H295+G295</f>
        <v>2392971.5979180182</v>
      </c>
      <c r="J295" s="75">
        <v>0.3</v>
      </c>
      <c r="K295" s="2"/>
      <c r="L295" s="2"/>
      <c r="M295" s="39">
        <f t="shared" si="46"/>
        <v>717891.47937540547</v>
      </c>
      <c r="N295" s="39">
        <f t="shared" si="47"/>
        <v>1675080.1185426128</v>
      </c>
    </row>
    <row r="296" spans="1:17" x14ac:dyDescent="0.25">
      <c r="A296" s="3">
        <v>10</v>
      </c>
      <c r="B296" s="3" t="s">
        <v>89</v>
      </c>
      <c r="C296" s="54">
        <v>0</v>
      </c>
      <c r="D296" s="29">
        <v>0</v>
      </c>
      <c r="E296" s="39">
        <f>Q296-O296</f>
        <v>996269.87869570963</v>
      </c>
      <c r="F296" s="2"/>
      <c r="G296" s="2">
        <v>-26549</v>
      </c>
      <c r="H296" s="39"/>
      <c r="I296" s="74">
        <f>C296+E296+G296</f>
        <v>969720.87869570963</v>
      </c>
      <c r="J296" s="75">
        <f>J295*1.5</f>
        <v>0.44999999999999996</v>
      </c>
      <c r="K296" s="2"/>
      <c r="L296" s="2"/>
      <c r="M296" s="39">
        <f t="shared" si="46"/>
        <v>436374.39541306929</v>
      </c>
      <c r="N296" s="39">
        <f t="shared" si="47"/>
        <v>533346.48328264034</v>
      </c>
      <c r="O296" s="42">
        <v>448376.14847095712</v>
      </c>
      <c r="P296" s="25">
        <f>E296+O296</f>
        <v>1444646.0271666667</v>
      </c>
      <c r="Q296" s="25">
        <v>1444646.0271666667</v>
      </c>
    </row>
    <row r="297" spans="1:17" x14ac:dyDescent="0.25">
      <c r="A297" s="56">
        <v>10.1</v>
      </c>
      <c r="B297" s="3" t="s">
        <v>88</v>
      </c>
      <c r="C297" s="54">
        <f>N264</f>
        <v>67.64851211976503</v>
      </c>
      <c r="D297" s="29">
        <v>0</v>
      </c>
      <c r="E297" s="39"/>
      <c r="F297" s="2"/>
      <c r="G297" s="2"/>
      <c r="H297" s="39">
        <f>SUM(D297+G297)/2</f>
        <v>0</v>
      </c>
      <c r="I297" s="74">
        <f>C297+H297</f>
        <v>67.64851211976503</v>
      </c>
      <c r="J297" s="75">
        <v>0.3</v>
      </c>
      <c r="K297" s="2"/>
      <c r="L297" s="2"/>
      <c r="M297" s="39">
        <f t="shared" si="46"/>
        <v>20.294553635929507</v>
      </c>
      <c r="N297" s="39">
        <f t="shared" si="47"/>
        <v>47.353958483835527</v>
      </c>
    </row>
    <row r="298" spans="1:17" x14ac:dyDescent="0.25">
      <c r="A298" s="56">
        <v>10.1</v>
      </c>
      <c r="B298" s="3" t="s">
        <v>87</v>
      </c>
      <c r="C298" s="54">
        <f>N265</f>
        <v>67.771008293816237</v>
      </c>
      <c r="D298" s="29">
        <v>0</v>
      </c>
      <c r="E298" s="39"/>
      <c r="F298" s="2"/>
      <c r="G298" s="2"/>
      <c r="H298" s="39">
        <f>SUM(D298+G298)/2</f>
        <v>0</v>
      </c>
      <c r="I298" s="74">
        <f>C298+H298</f>
        <v>67.771008293816237</v>
      </c>
      <c r="J298" s="75">
        <v>0.3</v>
      </c>
      <c r="K298" s="2"/>
      <c r="L298" s="2"/>
      <c r="M298" s="39">
        <f t="shared" si="46"/>
        <v>20.331302488144871</v>
      </c>
      <c r="N298" s="39">
        <f t="shared" si="47"/>
        <v>47.439705805671366</v>
      </c>
    </row>
    <row r="299" spans="1:17" x14ac:dyDescent="0.25">
      <c r="A299" s="56">
        <v>10.1</v>
      </c>
      <c r="B299" s="3" t="s">
        <v>86</v>
      </c>
      <c r="C299" s="54">
        <f>N266</f>
        <v>98.047979313466612</v>
      </c>
      <c r="D299" s="29">
        <v>0</v>
      </c>
      <c r="E299" s="39"/>
      <c r="F299" s="2"/>
      <c r="G299" s="2"/>
      <c r="H299" s="39">
        <f>SUM(D299+G299)/2</f>
        <v>0</v>
      </c>
      <c r="I299" s="74">
        <f>C299+H299</f>
        <v>98.047979313466612</v>
      </c>
      <c r="J299" s="75">
        <v>0.3</v>
      </c>
      <c r="K299" s="2"/>
      <c r="L299" s="2"/>
      <c r="M299" s="39">
        <f t="shared" si="46"/>
        <v>29.414393794039981</v>
      </c>
      <c r="N299" s="39">
        <f t="shared" si="47"/>
        <v>68.633585519426632</v>
      </c>
    </row>
    <row r="300" spans="1:17" x14ac:dyDescent="0.25">
      <c r="A300" s="56">
        <v>10.1</v>
      </c>
      <c r="B300" s="3" t="s">
        <v>85</v>
      </c>
      <c r="C300" s="54">
        <f>N267</f>
        <v>140.06027824559169</v>
      </c>
      <c r="D300" s="29">
        <v>0</v>
      </c>
      <c r="E300" s="39"/>
      <c r="F300" s="2"/>
      <c r="G300" s="2"/>
      <c r="H300" s="39">
        <f>SUM(D300+G300)/2</f>
        <v>0</v>
      </c>
      <c r="I300" s="74">
        <f>C300+H300</f>
        <v>140.06027824559169</v>
      </c>
      <c r="J300" s="75">
        <v>0.3</v>
      </c>
      <c r="K300" s="2"/>
      <c r="L300" s="2"/>
      <c r="M300" s="39">
        <f t="shared" si="46"/>
        <v>42.018083473677507</v>
      </c>
      <c r="N300" s="39">
        <f t="shared" si="47"/>
        <v>98.042194771914183</v>
      </c>
    </row>
    <row r="301" spans="1:17" x14ac:dyDescent="0.25">
      <c r="A301" s="56">
        <v>12</v>
      </c>
      <c r="B301" s="57" t="s">
        <v>84</v>
      </c>
      <c r="C301" s="54">
        <f>N268+N269</f>
        <v>0</v>
      </c>
      <c r="D301" s="67">
        <v>0</v>
      </c>
      <c r="E301" s="29"/>
      <c r="F301" s="2"/>
      <c r="G301" s="2"/>
      <c r="H301" s="74">
        <f>SUM(E301+G301)/2</f>
        <v>0</v>
      </c>
      <c r="I301" s="74">
        <f>C301+H301</f>
        <v>0</v>
      </c>
      <c r="J301" s="75">
        <v>1</v>
      </c>
      <c r="K301" s="2"/>
      <c r="L301" s="2"/>
      <c r="M301" s="39">
        <f t="shared" si="46"/>
        <v>0</v>
      </c>
      <c r="N301" s="39">
        <f t="shared" si="47"/>
        <v>0</v>
      </c>
    </row>
    <row r="302" spans="1:17" x14ac:dyDescent="0.25">
      <c r="A302" s="56">
        <v>12</v>
      </c>
      <c r="B302" s="57" t="s">
        <v>83</v>
      </c>
      <c r="C302" s="54">
        <v>0</v>
      </c>
      <c r="D302" s="29">
        <v>0</v>
      </c>
      <c r="E302" s="39">
        <f>Q302-O302</f>
        <v>0</v>
      </c>
      <c r="F302" s="2"/>
      <c r="G302" s="2"/>
      <c r="H302" s="74"/>
      <c r="I302" s="74">
        <f>C302+E302+G302</f>
        <v>0</v>
      </c>
      <c r="J302" s="75">
        <f>J301</f>
        <v>1</v>
      </c>
      <c r="K302" s="2"/>
      <c r="L302" s="2"/>
      <c r="M302" s="39">
        <f t="shared" si="46"/>
        <v>0</v>
      </c>
      <c r="N302" s="39">
        <f t="shared" si="47"/>
        <v>0</v>
      </c>
      <c r="O302" s="42">
        <v>0</v>
      </c>
      <c r="P302" s="25">
        <f>E302+O302</f>
        <v>0</v>
      </c>
      <c r="Q302" s="25">
        <v>0</v>
      </c>
    </row>
    <row r="303" spans="1:17" x14ac:dyDescent="0.25">
      <c r="A303" s="56">
        <v>13</v>
      </c>
      <c r="B303" s="57" t="s">
        <v>82</v>
      </c>
      <c r="C303" s="54">
        <f>N270</f>
        <v>-9.495969864929793E-2</v>
      </c>
      <c r="D303" s="29">
        <v>0</v>
      </c>
      <c r="E303" s="39"/>
      <c r="F303" s="2"/>
      <c r="G303" s="2"/>
      <c r="H303" s="74">
        <v>0</v>
      </c>
      <c r="I303" s="74">
        <f>C303+D303</f>
        <v>-9.495969864929793E-2</v>
      </c>
      <c r="J303" s="75">
        <v>0</v>
      </c>
      <c r="K303" s="2"/>
      <c r="L303" s="77"/>
      <c r="M303" s="74">
        <f>I303/30*9</f>
        <v>-2.8487909594789376E-2</v>
      </c>
      <c r="N303" s="39">
        <f t="shared" si="47"/>
        <v>-6.6471789054508554E-2</v>
      </c>
    </row>
    <row r="304" spans="1:17" x14ac:dyDescent="0.25">
      <c r="A304" s="56">
        <v>42</v>
      </c>
      <c r="B304" s="56" t="s">
        <v>81</v>
      </c>
      <c r="C304" s="54">
        <f>N271</f>
        <v>889.6895195951189</v>
      </c>
      <c r="D304" s="29">
        <v>0</v>
      </c>
      <c r="E304" s="39"/>
      <c r="F304" s="2"/>
      <c r="G304" s="2"/>
      <c r="H304" s="74">
        <f>SUM(D304+G304)/2</f>
        <v>0</v>
      </c>
      <c r="I304" s="74">
        <f>C304+H304</f>
        <v>889.6895195951189</v>
      </c>
      <c r="J304" s="75">
        <v>0.12</v>
      </c>
      <c r="K304" s="2"/>
      <c r="L304" s="2"/>
      <c r="M304" s="39">
        <f t="shared" ref="M304:M310" si="48">I304*J304</f>
        <v>106.76274235141426</v>
      </c>
      <c r="N304" s="39">
        <f t="shared" si="47"/>
        <v>782.92677724370469</v>
      </c>
    </row>
    <row r="305" spans="1:17" x14ac:dyDescent="0.25">
      <c r="A305" s="3">
        <v>45</v>
      </c>
      <c r="B305" s="3" t="s">
        <v>80</v>
      </c>
      <c r="C305" s="54">
        <f>N272</f>
        <v>9.5601693591366281</v>
      </c>
      <c r="D305" s="78">
        <v>0</v>
      </c>
      <c r="E305" s="39"/>
      <c r="F305" s="2"/>
      <c r="G305" s="2"/>
      <c r="H305" s="74">
        <f>SUM(D305+G305)/2</f>
        <v>0</v>
      </c>
      <c r="I305" s="74">
        <f>C305+H305</f>
        <v>9.5601693591366281</v>
      </c>
      <c r="J305" s="75">
        <v>0.45</v>
      </c>
      <c r="K305" s="2"/>
      <c r="L305" s="2"/>
      <c r="M305" s="39">
        <f t="shared" si="48"/>
        <v>4.3020762116114826</v>
      </c>
      <c r="N305" s="39">
        <f t="shared" si="47"/>
        <v>5.2580931475251456</v>
      </c>
    </row>
    <row r="306" spans="1:17" ht="15.75" x14ac:dyDescent="0.25">
      <c r="A306" s="56">
        <v>47</v>
      </c>
      <c r="B306" s="56" t="s">
        <v>79</v>
      </c>
      <c r="C306" s="54">
        <f>N273+N274</f>
        <v>202245404.07752869</v>
      </c>
      <c r="D306" s="67">
        <v>0</v>
      </c>
      <c r="E306" s="29"/>
      <c r="F306" s="2">
        <v>0</v>
      </c>
      <c r="G306" s="67">
        <v>0</v>
      </c>
      <c r="H306" s="39">
        <v>0</v>
      </c>
      <c r="I306" s="74">
        <f>C306+H306+G306</f>
        <v>202245404.07752869</v>
      </c>
      <c r="J306" s="75">
        <v>0.08</v>
      </c>
      <c r="K306" s="2"/>
      <c r="L306" s="2"/>
      <c r="M306" s="39">
        <f t="shared" si="48"/>
        <v>16179632.326202296</v>
      </c>
      <c r="N306" s="39">
        <f t="shared" si="47"/>
        <v>186065771.75132638</v>
      </c>
    </row>
    <row r="307" spans="1:17" x14ac:dyDescent="0.25">
      <c r="A307" s="56">
        <v>47</v>
      </c>
      <c r="B307" s="56" t="s">
        <v>78</v>
      </c>
      <c r="C307" s="54">
        <v>0</v>
      </c>
      <c r="D307" s="29">
        <v>0</v>
      </c>
      <c r="E307" s="39">
        <f>Q307-O307</f>
        <v>36312955.749930441</v>
      </c>
      <c r="F307" s="2"/>
      <c r="G307" s="2">
        <v>-260830</v>
      </c>
      <c r="H307" s="74">
        <v>0</v>
      </c>
      <c r="I307" s="74">
        <f>C307+E307+G307</f>
        <v>36052125.749930441</v>
      </c>
      <c r="J307" s="75">
        <f>J306*1.5</f>
        <v>0.12</v>
      </c>
      <c r="K307" s="2"/>
      <c r="L307" s="2"/>
      <c r="M307" s="39">
        <f t="shared" si="48"/>
        <v>4326255.0899916524</v>
      </c>
      <c r="N307" s="39">
        <f t="shared" ref="N307:N312" si="49">H307+I307-M307</f>
        <v>31725870.65993879</v>
      </c>
      <c r="O307" s="42">
        <v>8669070.8161154222</v>
      </c>
      <c r="P307" s="25">
        <f>E307+O307</f>
        <v>44982026.566045865</v>
      </c>
      <c r="Q307" s="25">
        <v>44982026.566045865</v>
      </c>
    </row>
    <row r="308" spans="1:17" x14ac:dyDescent="0.25">
      <c r="A308" s="3">
        <v>50</v>
      </c>
      <c r="B308" s="3" t="s">
        <v>77</v>
      </c>
      <c r="C308" s="54">
        <f>N275+N276</f>
        <v>378404.65895340341</v>
      </c>
      <c r="D308" s="29">
        <v>0</v>
      </c>
      <c r="E308" s="39"/>
      <c r="F308" s="2">
        <v>0</v>
      </c>
      <c r="G308" s="2">
        <v>0</v>
      </c>
      <c r="H308" s="2">
        <v>0</v>
      </c>
      <c r="I308" s="74">
        <f>C308+H308+G308</f>
        <v>378404.65895340341</v>
      </c>
      <c r="J308" s="75">
        <v>0.55000000000000004</v>
      </c>
      <c r="K308" s="2"/>
      <c r="L308" s="2"/>
      <c r="M308" s="39">
        <f t="shared" si="48"/>
        <v>208122.56242437189</v>
      </c>
      <c r="N308" s="39">
        <f t="shared" si="49"/>
        <v>170282.09652903152</v>
      </c>
    </row>
    <row r="309" spans="1:17" x14ac:dyDescent="0.25">
      <c r="A309" s="58">
        <v>50</v>
      </c>
      <c r="B309" s="3" t="s">
        <v>76</v>
      </c>
      <c r="C309" s="54">
        <v>0</v>
      </c>
      <c r="D309" s="29">
        <v>0</v>
      </c>
      <c r="E309" s="39">
        <f>Q309-O309</f>
        <v>0</v>
      </c>
      <c r="F309" s="5"/>
      <c r="G309" s="5">
        <v>0</v>
      </c>
      <c r="H309" s="39"/>
      <c r="I309" s="141">
        <f>C309+E309+G309</f>
        <v>0</v>
      </c>
      <c r="J309" s="75">
        <f>J308*1.5</f>
        <v>0.82500000000000007</v>
      </c>
      <c r="K309" s="5"/>
      <c r="L309" s="5"/>
      <c r="M309" s="142">
        <f>I309*J309</f>
        <v>0</v>
      </c>
      <c r="N309" s="128">
        <f>I309*(1-J309)</f>
        <v>0</v>
      </c>
      <c r="O309" s="42">
        <v>0</v>
      </c>
      <c r="P309" s="25">
        <f>E309+O309</f>
        <v>0</v>
      </c>
      <c r="Q309" s="25">
        <v>0</v>
      </c>
    </row>
    <row r="310" spans="1:17" x14ac:dyDescent="0.25">
      <c r="A310" s="59">
        <v>43.2</v>
      </c>
      <c r="B310" s="79" t="s">
        <v>75</v>
      </c>
      <c r="C310" s="54">
        <f>N277</f>
        <v>174.14978942070138</v>
      </c>
      <c r="D310" s="29">
        <v>0</v>
      </c>
      <c r="E310" s="39"/>
      <c r="F310" s="5"/>
      <c r="G310" s="5"/>
      <c r="H310" s="39">
        <f>SUM(D310+G310)/2</f>
        <v>0</v>
      </c>
      <c r="I310" s="74">
        <f>C310+H310</f>
        <v>174.14978942070138</v>
      </c>
      <c r="J310" s="75">
        <v>0.5</v>
      </c>
      <c r="K310" s="5"/>
      <c r="L310" s="5"/>
      <c r="M310" s="39">
        <f t="shared" si="48"/>
        <v>87.074894710350691</v>
      </c>
      <c r="N310" s="39">
        <f t="shared" si="49"/>
        <v>87.074894710350691</v>
      </c>
    </row>
    <row r="311" spans="1:17" x14ac:dyDescent="0.25">
      <c r="A311" s="59">
        <v>43.2</v>
      </c>
      <c r="B311" s="79" t="s">
        <v>75</v>
      </c>
      <c r="C311" s="54">
        <v>0</v>
      </c>
      <c r="D311" s="2">
        <v>0</v>
      </c>
      <c r="E311" s="39">
        <v>0</v>
      </c>
      <c r="F311" s="5"/>
      <c r="G311" s="5"/>
      <c r="H311" s="39">
        <f>SUM(D311+G311)/2</f>
        <v>0</v>
      </c>
      <c r="I311" s="74">
        <f>C311+H311</f>
        <v>0</v>
      </c>
      <c r="J311" s="75">
        <v>0.75</v>
      </c>
      <c r="K311" s="5"/>
      <c r="L311" s="5"/>
      <c r="M311" s="39">
        <f>I311*J311</f>
        <v>0</v>
      </c>
      <c r="N311" s="39">
        <f t="shared" si="49"/>
        <v>0</v>
      </c>
    </row>
    <row r="312" spans="1:17" x14ac:dyDescent="0.25">
      <c r="A312" s="59">
        <v>46</v>
      </c>
      <c r="B312" s="79" t="s">
        <v>134</v>
      </c>
      <c r="C312" s="54">
        <f>SUM(N279:N280)</f>
        <v>83013.271110000001</v>
      </c>
      <c r="D312" s="2"/>
      <c r="E312" s="39"/>
      <c r="F312" s="5"/>
      <c r="G312" s="5"/>
      <c r="H312" s="39"/>
      <c r="I312" s="74">
        <f>C312+H312</f>
        <v>83013.271110000001</v>
      </c>
      <c r="J312" s="75">
        <v>0.3</v>
      </c>
      <c r="K312" s="5"/>
      <c r="L312" s="5"/>
      <c r="M312" s="39">
        <f>I312*J312</f>
        <v>24903.981333</v>
      </c>
      <c r="N312" s="39">
        <f t="shared" si="49"/>
        <v>58109.289776999998</v>
      </c>
      <c r="O312" s="68"/>
      <c r="P312"/>
      <c r="Q312"/>
    </row>
    <row r="313" spans="1:17" x14ac:dyDescent="0.25">
      <c r="A313" s="59">
        <v>46</v>
      </c>
      <c r="B313" s="79" t="s">
        <v>135</v>
      </c>
      <c r="C313" s="54">
        <v>0</v>
      </c>
      <c r="D313" s="2"/>
      <c r="E313" s="39">
        <f>Q313-O313</f>
        <v>0</v>
      </c>
      <c r="F313" s="5"/>
      <c r="G313" s="5"/>
      <c r="H313" s="39"/>
      <c r="I313" s="74">
        <f>C313+E313+G313</f>
        <v>0</v>
      </c>
      <c r="J313" s="75">
        <f>J312*1.5</f>
        <v>0.44999999999999996</v>
      </c>
      <c r="K313" s="5"/>
      <c r="L313" s="5"/>
      <c r="M313" s="39">
        <f>(I313*J313)</f>
        <v>0</v>
      </c>
      <c r="N313" s="39">
        <f>H313+I313-M313</f>
        <v>0</v>
      </c>
      <c r="O313" s="42">
        <f>Q313*40%</f>
        <v>0</v>
      </c>
      <c r="P313" s="25">
        <v>0</v>
      </c>
      <c r="Q313" s="25">
        <v>0</v>
      </c>
    </row>
    <row r="314" spans="1:17" x14ac:dyDescent="0.25">
      <c r="A314" s="59">
        <v>14.1</v>
      </c>
      <c r="B314" s="79" t="s">
        <v>74</v>
      </c>
      <c r="C314" s="54">
        <f>N281</f>
        <v>2321876.4180206447</v>
      </c>
      <c r="D314" s="67">
        <v>0</v>
      </c>
      <c r="E314" s="39"/>
      <c r="F314" s="5"/>
      <c r="G314" s="5"/>
      <c r="H314" s="39"/>
      <c r="I314" s="74">
        <f>C314</f>
        <v>2321876.4180206447</v>
      </c>
      <c r="J314" s="75">
        <v>7.0000000000000007E-2</v>
      </c>
      <c r="K314" s="5"/>
      <c r="L314" s="5"/>
      <c r="M314" s="39">
        <f>I314*J314</f>
        <v>162531.34926144514</v>
      </c>
      <c r="N314" s="39">
        <f>H314+I314-M314</f>
        <v>2159345.0687591997</v>
      </c>
    </row>
    <row r="315" spans="1:17" x14ac:dyDescent="0.25">
      <c r="A315" s="59">
        <v>14.1</v>
      </c>
      <c r="B315" s="79" t="s">
        <v>73</v>
      </c>
      <c r="C315" s="54">
        <f>N282+N283</f>
        <v>6285153.3154031327</v>
      </c>
      <c r="D315" s="29">
        <v>0</v>
      </c>
      <c r="E315" s="39"/>
      <c r="F315" s="5"/>
      <c r="G315" s="5"/>
      <c r="H315" s="39"/>
      <c r="I315" s="74">
        <f>C315+E315+G315</f>
        <v>6285153.3154031327</v>
      </c>
      <c r="J315" s="75">
        <v>0.05</v>
      </c>
      <c r="K315" s="5"/>
      <c r="L315" s="5"/>
      <c r="M315" s="39">
        <f>I315*J315</f>
        <v>314257.66577015666</v>
      </c>
      <c r="N315" s="39">
        <f>H315+I315-M315</f>
        <v>5970895.6496329764</v>
      </c>
    </row>
    <row r="316" spans="1:17" x14ac:dyDescent="0.25">
      <c r="A316" s="59">
        <v>14.1</v>
      </c>
      <c r="B316" s="79" t="s">
        <v>96</v>
      </c>
      <c r="C316" s="54">
        <v>0</v>
      </c>
      <c r="D316" s="29"/>
      <c r="E316" s="39">
        <f>Q316-O316</f>
        <v>17665982.582268201</v>
      </c>
      <c r="F316" s="5"/>
      <c r="G316" s="5"/>
      <c r="H316" s="39"/>
      <c r="I316" s="74">
        <f>C316+E316+G316</f>
        <v>17665982.582268201</v>
      </c>
      <c r="J316" s="75">
        <f>J315*1.5</f>
        <v>7.5000000000000011E-2</v>
      </c>
      <c r="K316" s="5"/>
      <c r="L316" s="5"/>
      <c r="M316" s="39">
        <f>I316*J316</f>
        <v>1324948.6936701152</v>
      </c>
      <c r="N316" s="39">
        <f>H316+I316-M316</f>
        <v>16341033.888598086</v>
      </c>
      <c r="O316" s="42">
        <v>0</v>
      </c>
      <c r="P316" s="25">
        <f>E316+O316</f>
        <v>17665982.582268201</v>
      </c>
      <c r="Q316" s="25">
        <v>17665982.582268201</v>
      </c>
    </row>
    <row r="317" spans="1:17" ht="15.75" x14ac:dyDescent="0.25">
      <c r="A317" s="60">
        <v>95</v>
      </c>
      <c r="B317" s="60" t="s">
        <v>10</v>
      </c>
      <c r="C317" s="54">
        <f>N284</f>
        <v>0</v>
      </c>
      <c r="D317" s="29">
        <v>0</v>
      </c>
      <c r="E317" s="39"/>
      <c r="F317" s="2">
        <v>0</v>
      </c>
      <c r="G317" s="81"/>
      <c r="H317" s="39">
        <v>0</v>
      </c>
      <c r="I317" s="39">
        <f>C317+D317+E317+F317</f>
        <v>0</v>
      </c>
      <c r="J317" s="75">
        <v>0</v>
      </c>
      <c r="K317" s="2"/>
      <c r="L317" s="2"/>
      <c r="M317" s="39">
        <f>I317*J317</f>
        <v>0</v>
      </c>
      <c r="N317" s="39">
        <f>H317+I317-M317</f>
        <v>0</v>
      </c>
      <c r="Q317" s="99">
        <v>0</v>
      </c>
    </row>
    <row r="318" spans="1:17" ht="15.75" thickBot="1" x14ac:dyDescent="0.3">
      <c r="A318" s="61" t="s">
        <v>11</v>
      </c>
      <c r="B318" s="62"/>
      <c r="C318" s="63">
        <f t="shared" ref="C318:I318" si="50">SUM(C290:C317)</f>
        <v>289121971.27877605</v>
      </c>
      <c r="D318" s="64">
        <f t="shared" si="50"/>
        <v>0</v>
      </c>
      <c r="E318" s="64">
        <f t="shared" si="50"/>
        <v>55133555.892998502</v>
      </c>
      <c r="F318" s="23">
        <f t="shared" si="50"/>
        <v>0</v>
      </c>
      <c r="G318" s="27">
        <f t="shared" si="50"/>
        <v>-287379</v>
      </c>
      <c r="H318" s="23">
        <f t="shared" si="50"/>
        <v>0</v>
      </c>
      <c r="I318" s="63">
        <f t="shared" si="50"/>
        <v>343968148.17177451</v>
      </c>
      <c r="J318" s="63" t="s">
        <v>0</v>
      </c>
      <c r="K318" s="63">
        <f t="shared" ref="K318:N318" si="51">SUM(K290:K317)</f>
        <v>0</v>
      </c>
      <c r="L318" s="63">
        <f t="shared" si="51"/>
        <v>0</v>
      </c>
      <c r="M318" s="63">
        <f t="shared" si="51"/>
        <v>27501578.936261501</v>
      </c>
      <c r="N318" s="63">
        <f t="shared" si="51"/>
        <v>316466569.23551303</v>
      </c>
      <c r="O318" s="42">
        <f>SUM(O290:O317)</f>
        <v>9146443.8649122305</v>
      </c>
      <c r="P318" s="25">
        <f>SUM(P290:P317)</f>
        <v>64279999.757910736</v>
      </c>
      <c r="Q318" s="25">
        <f>SUM(Q290:Q317)</f>
        <v>64279999.757910736</v>
      </c>
    </row>
    <row r="319" spans="1:17" ht="15.75" thickTop="1" x14ac:dyDescent="0.25"/>
  </sheetData>
  <pageMargins left="0.7" right="0.7" top="0.75" bottom="0.75" header="0.3" footer="0.3"/>
  <pageSetup orientation="portrait" r:id="rId1"/>
  <ignoredErrors>
    <ignoredError sqref="I292:N315 I259:N2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0"/>
  <sheetViews>
    <sheetView zoomScale="80" zoomScaleNormal="80" workbookViewId="0">
      <selection activeCell="C232" sqref="C232"/>
    </sheetView>
  </sheetViews>
  <sheetFormatPr defaultRowHeight="15" x14ac:dyDescent="0.25"/>
  <cols>
    <col min="1" max="1" width="9" style="68" customWidth="1"/>
    <col min="2" max="2" width="43.7109375" style="68" bestFit="1" customWidth="1"/>
    <col min="3" max="3" width="15.7109375" style="68" customWidth="1"/>
    <col min="4" max="4" width="16.7109375" style="67" bestFit="1" customWidth="1"/>
    <col min="5" max="5" width="16" style="67" bestFit="1" customWidth="1"/>
    <col min="6" max="6" width="12.140625" style="67" bestFit="1" customWidth="1"/>
    <col min="7" max="7" width="17" style="67" customWidth="1"/>
    <col min="8" max="8" width="14.42578125" style="67" bestFit="1" customWidth="1"/>
    <col min="9" max="9" width="15.7109375" style="67" bestFit="1" customWidth="1"/>
    <col min="10" max="10" width="10" style="67" customWidth="1"/>
    <col min="11" max="11" width="12.85546875" style="67" customWidth="1"/>
    <col min="12" max="12" width="13" style="67" bestFit="1" customWidth="1"/>
    <col min="13" max="13" width="14.42578125" style="67" bestFit="1" customWidth="1"/>
    <col min="14" max="14" width="15.7109375" style="68" bestFit="1" customWidth="1"/>
    <col min="15" max="16" width="8.7109375" style="68"/>
  </cols>
  <sheetData>
    <row r="1" spans="1:14" ht="15.75" x14ac:dyDescent="0.25">
      <c r="A1" s="52" t="s">
        <v>95</v>
      </c>
      <c r="B1" s="52"/>
      <c r="C1" s="66"/>
      <c r="D1" s="40"/>
      <c r="E1" s="40"/>
      <c r="F1" s="40"/>
      <c r="G1" s="40"/>
      <c r="H1" s="40"/>
      <c r="I1" s="40"/>
      <c r="J1" s="40"/>
      <c r="K1" s="40" t="s">
        <v>0</v>
      </c>
      <c r="L1" s="40"/>
    </row>
    <row r="3" spans="1:14" x14ac:dyDescent="0.25">
      <c r="A3" s="68">
        <v>2018</v>
      </c>
      <c r="B3" s="68" t="s">
        <v>65</v>
      </c>
    </row>
    <row r="4" spans="1:14" ht="30" x14ac:dyDescent="0.25">
      <c r="A4" s="53" t="s">
        <v>2</v>
      </c>
      <c r="B4" s="53" t="s">
        <v>3</v>
      </c>
      <c r="C4" s="53" t="s">
        <v>59</v>
      </c>
      <c r="D4" s="69" t="s">
        <v>60</v>
      </c>
      <c r="E4" s="69" t="s">
        <v>69</v>
      </c>
      <c r="F4" s="69" t="s">
        <v>4</v>
      </c>
      <c r="G4" s="69" t="s">
        <v>12</v>
      </c>
      <c r="H4" s="69" t="s">
        <v>5</v>
      </c>
      <c r="I4" s="69" t="s">
        <v>6</v>
      </c>
      <c r="J4" s="69" t="s">
        <v>57</v>
      </c>
      <c r="K4" s="69" t="s">
        <v>58</v>
      </c>
      <c r="L4" s="69" t="s">
        <v>7</v>
      </c>
      <c r="M4" s="69" t="s">
        <v>61</v>
      </c>
      <c r="N4" s="69" t="s">
        <v>8</v>
      </c>
    </row>
    <row r="5" spans="1:14" x14ac:dyDescent="0.25">
      <c r="A5" s="53"/>
      <c r="B5" s="53"/>
      <c r="C5" s="70"/>
      <c r="D5" s="28"/>
      <c r="E5" s="39"/>
      <c r="F5" s="1"/>
      <c r="G5" s="1"/>
      <c r="H5" s="1"/>
      <c r="I5" s="71"/>
      <c r="J5" s="72"/>
      <c r="K5" s="1"/>
      <c r="L5" s="1"/>
      <c r="M5" s="73"/>
      <c r="N5" s="73"/>
    </row>
    <row r="6" spans="1:14" x14ac:dyDescent="0.25">
      <c r="A6" s="3">
        <v>1</v>
      </c>
      <c r="B6" s="3" t="s">
        <v>94</v>
      </c>
      <c r="C6" s="54">
        <v>83277635.254966199</v>
      </c>
      <c r="D6" s="29">
        <v>0</v>
      </c>
      <c r="E6" s="39"/>
      <c r="F6" s="2"/>
      <c r="G6" s="2"/>
      <c r="H6" s="39">
        <f>SUM(D6+G6)/2</f>
        <v>0</v>
      </c>
      <c r="I6" s="74">
        <f>C6+H6</f>
        <v>83277635.254966199</v>
      </c>
      <c r="J6" s="84">
        <v>0.04</v>
      </c>
      <c r="K6" s="2"/>
      <c r="L6" s="2"/>
      <c r="M6" s="39">
        <f t="shared" ref="M6:M18" si="0">I6*J6</f>
        <v>3331105.410198648</v>
      </c>
      <c r="N6" s="39">
        <f t="shared" ref="N6:N29" si="1">H6+I6-M6</f>
        <v>79946529.844767556</v>
      </c>
    </row>
    <row r="7" spans="1:14" x14ac:dyDescent="0.25">
      <c r="A7" s="55" t="s">
        <v>92</v>
      </c>
      <c r="B7" s="3" t="s">
        <v>93</v>
      </c>
      <c r="C7" s="54">
        <v>9436001.5832011383</v>
      </c>
      <c r="D7" s="29">
        <f>648395+113121</f>
        <v>761516</v>
      </c>
      <c r="E7" s="39">
        <v>0</v>
      </c>
      <c r="F7" s="2" t="s">
        <v>0</v>
      </c>
      <c r="G7" s="2"/>
      <c r="H7" s="74">
        <f>SUM(D7+G7)/2</f>
        <v>380758</v>
      </c>
      <c r="I7" s="76">
        <f>C7+H7</f>
        <v>9816759.5832011383</v>
      </c>
      <c r="J7" s="75">
        <v>0.06</v>
      </c>
      <c r="K7" s="2"/>
      <c r="L7" s="2"/>
      <c r="M7" s="39">
        <f t="shared" si="0"/>
        <v>589005.57499206823</v>
      </c>
      <c r="N7" s="39">
        <f t="shared" si="1"/>
        <v>9608512.0082090702</v>
      </c>
    </row>
    <row r="8" spans="1:14" x14ac:dyDescent="0.25">
      <c r="A8" s="55" t="s">
        <v>92</v>
      </c>
      <c r="B8" s="3" t="s">
        <v>91</v>
      </c>
      <c r="C8" s="54"/>
      <c r="D8" s="29"/>
      <c r="E8" s="39">
        <v>0</v>
      </c>
      <c r="F8" s="2"/>
      <c r="G8" s="2"/>
      <c r="H8" s="74"/>
      <c r="I8" s="74">
        <f>E8</f>
        <v>0</v>
      </c>
      <c r="J8" s="75">
        <f>J7</f>
        <v>0.06</v>
      </c>
      <c r="K8" s="2"/>
      <c r="L8" s="2"/>
      <c r="M8" s="39">
        <f t="shared" si="0"/>
        <v>0</v>
      </c>
      <c r="N8" s="39">
        <f t="shared" si="1"/>
        <v>0</v>
      </c>
    </row>
    <row r="9" spans="1:14" x14ac:dyDescent="0.25">
      <c r="A9" s="56">
        <v>8</v>
      </c>
      <c r="B9" s="56" t="s">
        <v>90</v>
      </c>
      <c r="C9" s="54">
        <v>4454571.9544081017</v>
      </c>
      <c r="D9" s="29">
        <f>679270+223905</f>
        <v>903175</v>
      </c>
      <c r="E9" s="39">
        <v>0</v>
      </c>
      <c r="F9" s="2"/>
      <c r="G9" s="2"/>
      <c r="H9" s="74">
        <f>SUM(D9+G9)/2</f>
        <v>451587.5</v>
      </c>
      <c r="I9" s="76">
        <f>C9+H9</f>
        <v>4906159.4544081017</v>
      </c>
      <c r="J9" s="75">
        <v>0.2</v>
      </c>
      <c r="K9" s="2"/>
      <c r="L9" s="2"/>
      <c r="M9" s="39">
        <f t="shared" si="0"/>
        <v>981231.89088162035</v>
      </c>
      <c r="N9" s="39">
        <f t="shared" si="1"/>
        <v>4376515.0635264814</v>
      </c>
    </row>
    <row r="10" spans="1:14" x14ac:dyDescent="0.25">
      <c r="A10" s="56">
        <v>8</v>
      </c>
      <c r="B10" s="56" t="s">
        <v>62</v>
      </c>
      <c r="C10" s="54"/>
      <c r="D10" s="29"/>
      <c r="E10" s="39">
        <v>0</v>
      </c>
      <c r="F10" s="2"/>
      <c r="G10" s="2"/>
      <c r="H10" s="39"/>
      <c r="I10" s="74">
        <f>E10</f>
        <v>0</v>
      </c>
      <c r="J10" s="75">
        <f>J9</f>
        <v>0.2</v>
      </c>
      <c r="K10" s="2"/>
      <c r="L10" s="2"/>
      <c r="M10" s="39">
        <f t="shared" si="0"/>
        <v>0</v>
      </c>
      <c r="N10" s="39">
        <f t="shared" si="1"/>
        <v>0</v>
      </c>
    </row>
    <row r="11" spans="1:14" x14ac:dyDescent="0.25">
      <c r="A11" s="3">
        <v>10</v>
      </c>
      <c r="B11" s="3" t="s">
        <v>9</v>
      </c>
      <c r="C11" s="54">
        <v>2949506.2952036802</v>
      </c>
      <c r="D11" s="29">
        <f>369100+39648</f>
        <v>408748</v>
      </c>
      <c r="E11" s="39">
        <v>0</v>
      </c>
      <c r="F11" s="2"/>
      <c r="G11" s="2">
        <v>-68142</v>
      </c>
      <c r="H11" s="39">
        <f>SUM(D11+G11)/2</f>
        <v>170303</v>
      </c>
      <c r="I11" s="74">
        <f>C11+H11</f>
        <v>3119809.2952036802</v>
      </c>
      <c r="J11" s="75">
        <v>0.3</v>
      </c>
      <c r="K11" s="2"/>
      <c r="L11" s="2"/>
      <c r="M11" s="39">
        <f t="shared" si="0"/>
        <v>935942.78856110398</v>
      </c>
      <c r="N11" s="39">
        <f t="shared" si="1"/>
        <v>2354169.5066425763</v>
      </c>
    </row>
    <row r="12" spans="1:14" x14ac:dyDescent="0.25">
      <c r="A12" s="3">
        <v>10</v>
      </c>
      <c r="B12" s="3" t="s">
        <v>89</v>
      </c>
      <c r="C12" s="54"/>
      <c r="D12" s="29"/>
      <c r="E12" s="39">
        <v>0</v>
      </c>
      <c r="F12" s="2"/>
      <c r="G12" s="2"/>
      <c r="H12" s="39"/>
      <c r="I12" s="74">
        <f>E12</f>
        <v>0</v>
      </c>
      <c r="J12" s="75">
        <f>J11</f>
        <v>0.3</v>
      </c>
      <c r="K12" s="2"/>
      <c r="L12" s="2"/>
      <c r="M12" s="39">
        <f t="shared" si="0"/>
        <v>0</v>
      </c>
      <c r="N12" s="39">
        <f t="shared" si="1"/>
        <v>0</v>
      </c>
    </row>
    <row r="13" spans="1:14" x14ac:dyDescent="0.25">
      <c r="A13" s="56">
        <v>10.1</v>
      </c>
      <c r="B13" s="3" t="s">
        <v>88</v>
      </c>
      <c r="C13" s="54">
        <v>1146.1000868100002</v>
      </c>
      <c r="D13" s="29">
        <v>0</v>
      </c>
      <c r="E13" s="39"/>
      <c r="F13" s="2"/>
      <c r="G13" s="2"/>
      <c r="H13" s="39">
        <f>SUM(D13+G13)/2</f>
        <v>0</v>
      </c>
      <c r="I13" s="74">
        <f>C13+H13</f>
        <v>1146.1000868100002</v>
      </c>
      <c r="J13" s="75">
        <v>0.3</v>
      </c>
      <c r="K13" s="2"/>
      <c r="L13" s="2"/>
      <c r="M13" s="76">
        <f t="shared" si="0"/>
        <v>343.83002604300003</v>
      </c>
      <c r="N13" s="39">
        <f t="shared" si="1"/>
        <v>802.27006076700013</v>
      </c>
    </row>
    <row r="14" spans="1:14" x14ac:dyDescent="0.25">
      <c r="A14" s="56">
        <v>10.1</v>
      </c>
      <c r="B14" s="3" t="s">
        <v>87</v>
      </c>
      <c r="C14" s="54">
        <v>1148.1754151700004</v>
      </c>
      <c r="D14" s="29">
        <v>0</v>
      </c>
      <c r="E14" s="39"/>
      <c r="F14" s="2"/>
      <c r="G14" s="2"/>
      <c r="H14" s="39">
        <f>SUM(D14+G14)/2</f>
        <v>0</v>
      </c>
      <c r="I14" s="74">
        <f>C14+H14</f>
        <v>1148.1754151700004</v>
      </c>
      <c r="J14" s="75">
        <v>0.3</v>
      </c>
      <c r="K14" s="2"/>
      <c r="L14" s="2"/>
      <c r="M14" s="76">
        <f t="shared" si="0"/>
        <v>344.4526245510001</v>
      </c>
      <c r="N14" s="39">
        <f t="shared" si="1"/>
        <v>803.72279061900031</v>
      </c>
    </row>
    <row r="15" spans="1:14" x14ac:dyDescent="0.25">
      <c r="A15" s="56">
        <v>10.1</v>
      </c>
      <c r="B15" s="3" t="s">
        <v>86</v>
      </c>
      <c r="C15" s="54">
        <v>1661.1274081500001</v>
      </c>
      <c r="D15" s="29">
        <v>0</v>
      </c>
      <c r="E15" s="39"/>
      <c r="F15" s="2"/>
      <c r="G15" s="2"/>
      <c r="H15" s="39">
        <f>SUM(D15+G15)/2</f>
        <v>0</v>
      </c>
      <c r="I15" s="74">
        <f>C15+H15</f>
        <v>1661.1274081500001</v>
      </c>
      <c r="J15" s="75">
        <v>0.3</v>
      </c>
      <c r="K15" s="2"/>
      <c r="L15" s="2"/>
      <c r="M15" s="76">
        <f t="shared" si="0"/>
        <v>498.33822244499999</v>
      </c>
      <c r="N15" s="39">
        <f t="shared" si="1"/>
        <v>1162.7891857050001</v>
      </c>
    </row>
    <row r="16" spans="1:14" x14ac:dyDescent="0.25">
      <c r="A16" s="56">
        <v>10.1</v>
      </c>
      <c r="B16" s="3" t="s">
        <v>85</v>
      </c>
      <c r="C16" s="54">
        <v>2372.8991521899998</v>
      </c>
      <c r="D16" s="29">
        <v>0</v>
      </c>
      <c r="E16" s="39"/>
      <c r="F16" s="2"/>
      <c r="G16" s="2"/>
      <c r="H16" s="39">
        <f>SUM(D16+G16)/2</f>
        <v>0</v>
      </c>
      <c r="I16" s="74">
        <f>C16+H16</f>
        <v>2372.8991521899998</v>
      </c>
      <c r="J16" s="75">
        <v>0.3</v>
      </c>
      <c r="K16" s="2"/>
      <c r="L16" s="2"/>
      <c r="M16" s="76">
        <f t="shared" si="0"/>
        <v>711.86974565699995</v>
      </c>
      <c r="N16" s="39">
        <f t="shared" si="1"/>
        <v>1661.0294065329999</v>
      </c>
    </row>
    <row r="17" spans="1:14" x14ac:dyDescent="0.25">
      <c r="A17" s="56">
        <v>12</v>
      </c>
      <c r="B17" s="57" t="s">
        <v>84</v>
      </c>
      <c r="C17" s="54">
        <v>443165</v>
      </c>
      <c r="D17" s="29">
        <f>436539+157882</f>
        <v>594421</v>
      </c>
      <c r="E17" s="39">
        <v>0</v>
      </c>
      <c r="F17" s="2"/>
      <c r="G17" s="2"/>
      <c r="H17" s="74">
        <f>SUM(D17+G17)/2</f>
        <v>297210.5</v>
      </c>
      <c r="I17" s="76">
        <f>C17+H17</f>
        <v>740375.5</v>
      </c>
      <c r="J17" s="75">
        <v>1</v>
      </c>
      <c r="K17" s="2"/>
      <c r="L17" s="2"/>
      <c r="M17" s="74">
        <f t="shared" si="0"/>
        <v>740375.5</v>
      </c>
      <c r="N17" s="39">
        <f t="shared" si="1"/>
        <v>297210.5</v>
      </c>
    </row>
    <row r="18" spans="1:14" x14ac:dyDescent="0.25">
      <c r="A18" s="56">
        <v>12</v>
      </c>
      <c r="B18" s="57" t="s">
        <v>83</v>
      </c>
      <c r="C18" s="54"/>
      <c r="D18" s="29"/>
      <c r="E18" s="39">
        <v>0</v>
      </c>
      <c r="F18" s="2"/>
      <c r="G18" s="2"/>
      <c r="H18" s="74"/>
      <c r="I18" s="74">
        <f>E18</f>
        <v>0</v>
      </c>
      <c r="J18" s="75">
        <f>J17</f>
        <v>1</v>
      </c>
      <c r="K18" s="2"/>
      <c r="L18" s="2"/>
      <c r="M18" s="74">
        <f t="shared" si="0"/>
        <v>0</v>
      </c>
      <c r="N18" s="39">
        <f t="shared" si="1"/>
        <v>0</v>
      </c>
    </row>
    <row r="19" spans="1:14" x14ac:dyDescent="0.25">
      <c r="A19" s="56">
        <v>13</v>
      </c>
      <c r="B19" s="57" t="s">
        <v>82</v>
      </c>
      <c r="C19" s="54">
        <v>3238.1044864226687</v>
      </c>
      <c r="D19" s="29">
        <v>248998</v>
      </c>
      <c r="E19" s="39"/>
      <c r="F19" s="2"/>
      <c r="G19" s="2"/>
      <c r="H19" s="74">
        <v>0</v>
      </c>
      <c r="I19" s="74">
        <f>C19+D19</f>
        <v>252236.10448642267</v>
      </c>
      <c r="J19" s="75">
        <v>0</v>
      </c>
      <c r="K19" s="2"/>
      <c r="L19" s="77"/>
      <c r="M19" s="74">
        <f>3238+(248998/41*8)</f>
        <v>51822.975609756097</v>
      </c>
      <c r="N19" s="39">
        <f t="shared" si="1"/>
        <v>200413.12887666657</v>
      </c>
    </row>
    <row r="20" spans="1:14" x14ac:dyDescent="0.25">
      <c r="A20" s="56">
        <v>42</v>
      </c>
      <c r="B20" s="56" t="s">
        <v>81</v>
      </c>
      <c r="C20" s="54">
        <v>2466.3735711163226</v>
      </c>
      <c r="D20" s="29">
        <v>0</v>
      </c>
      <c r="E20" s="39"/>
      <c r="F20" s="2"/>
      <c r="G20" s="2"/>
      <c r="H20" s="74">
        <f>SUM(D20+G20)/2</f>
        <v>0</v>
      </c>
      <c r="I20" s="76">
        <f>C20+H20</f>
        <v>2466.3735711163226</v>
      </c>
      <c r="J20" s="75">
        <v>0.12</v>
      </c>
      <c r="K20" s="2"/>
      <c r="L20" s="2"/>
      <c r="M20" s="74">
        <f t="shared" ref="M20:M29" si="2">I20*J20</f>
        <v>295.96482853395872</v>
      </c>
      <c r="N20" s="39">
        <f t="shared" si="1"/>
        <v>2170.4087425823641</v>
      </c>
    </row>
    <row r="21" spans="1:14" x14ac:dyDescent="0.25">
      <c r="A21" s="3">
        <v>45</v>
      </c>
      <c r="B21" s="3" t="s">
        <v>80</v>
      </c>
      <c r="C21" s="54">
        <v>1068.6376355415232</v>
      </c>
      <c r="D21" s="78">
        <v>0</v>
      </c>
      <c r="E21" s="39"/>
      <c r="F21" s="2"/>
      <c r="G21" s="2"/>
      <c r="H21" s="74">
        <f>SUM(D21+G21)/2</f>
        <v>0</v>
      </c>
      <c r="I21" s="76">
        <f>C21+H21</f>
        <v>1068.6376355415232</v>
      </c>
      <c r="J21" s="75">
        <v>0.45</v>
      </c>
      <c r="K21" s="2"/>
      <c r="L21" s="2"/>
      <c r="M21" s="74">
        <f t="shared" si="2"/>
        <v>480.88693599368543</v>
      </c>
      <c r="N21" s="39">
        <f t="shared" si="1"/>
        <v>587.75069954783771</v>
      </c>
    </row>
    <row r="22" spans="1:14" ht="15.75" x14ac:dyDescent="0.25">
      <c r="A22" s="56">
        <v>47</v>
      </c>
      <c r="B22" s="56" t="s">
        <v>79</v>
      </c>
      <c r="C22" s="54">
        <v>112933526.92574459</v>
      </c>
      <c r="D22" s="29">
        <f>15730531+1425575</f>
        <v>17156106</v>
      </c>
      <c r="E22" s="39">
        <v>0</v>
      </c>
      <c r="F22" s="2">
        <v>0</v>
      </c>
      <c r="G22" s="2">
        <v>-90772</v>
      </c>
      <c r="H22" s="74">
        <f>SUM(D22+G22)/2</f>
        <v>8532667</v>
      </c>
      <c r="I22" s="76">
        <f>C22+H22</f>
        <v>121466193.92574459</v>
      </c>
      <c r="J22" s="75">
        <v>0.08</v>
      </c>
      <c r="K22" s="2"/>
      <c r="L22" s="2"/>
      <c r="M22" s="74">
        <f t="shared" si="2"/>
        <v>9717295.5140595678</v>
      </c>
      <c r="N22" s="39">
        <f t="shared" si="1"/>
        <v>120281565.41168502</v>
      </c>
    </row>
    <row r="23" spans="1:14" x14ac:dyDescent="0.25">
      <c r="A23" s="56">
        <v>47</v>
      </c>
      <c r="B23" s="56" t="s">
        <v>78</v>
      </c>
      <c r="C23" s="54"/>
      <c r="D23" s="29"/>
      <c r="E23" s="39">
        <v>0</v>
      </c>
      <c r="F23" s="2"/>
      <c r="G23" s="2"/>
      <c r="H23" s="74"/>
      <c r="I23" s="74">
        <f>E23</f>
        <v>0</v>
      </c>
      <c r="J23" s="75">
        <f>J22</f>
        <v>0.08</v>
      </c>
      <c r="K23" s="2"/>
      <c r="L23" s="2"/>
      <c r="M23" s="74">
        <f t="shared" si="2"/>
        <v>0</v>
      </c>
      <c r="N23" s="39">
        <f t="shared" si="1"/>
        <v>0</v>
      </c>
    </row>
    <row r="24" spans="1:14" x14ac:dyDescent="0.25">
      <c r="A24" s="3">
        <v>50</v>
      </c>
      <c r="B24" s="3" t="s">
        <v>77</v>
      </c>
      <c r="C24" s="54">
        <v>850263.90347685327</v>
      </c>
      <c r="D24" s="29">
        <f>201653+100186</f>
        <v>301839</v>
      </c>
      <c r="E24" s="39">
        <v>0</v>
      </c>
      <c r="F24" s="2">
        <v>0</v>
      </c>
      <c r="G24" s="2"/>
      <c r="H24" s="74">
        <f>SUM(D24+G24)/2</f>
        <v>150919.5</v>
      </c>
      <c r="I24" s="76">
        <f>C24+H24+F24</f>
        <v>1001183.4034768533</v>
      </c>
      <c r="J24" s="75">
        <v>0.55000000000000004</v>
      </c>
      <c r="K24" s="2"/>
      <c r="L24" s="2"/>
      <c r="M24" s="74">
        <f t="shared" si="2"/>
        <v>550650.87191226939</v>
      </c>
      <c r="N24" s="39">
        <f t="shared" si="1"/>
        <v>601452.031564584</v>
      </c>
    </row>
    <row r="25" spans="1:14" x14ac:dyDescent="0.25">
      <c r="A25" s="58">
        <v>50</v>
      </c>
      <c r="B25" s="3" t="s">
        <v>76</v>
      </c>
      <c r="C25" s="54"/>
      <c r="D25" s="29"/>
      <c r="E25" s="39">
        <v>0</v>
      </c>
      <c r="F25" s="5"/>
      <c r="G25" s="5"/>
      <c r="H25" s="39"/>
      <c r="I25" s="74">
        <f>E25</f>
        <v>0</v>
      </c>
      <c r="J25" s="75">
        <f>J24</f>
        <v>0.55000000000000004</v>
      </c>
      <c r="K25" s="5"/>
      <c r="L25" s="5"/>
      <c r="M25" s="74">
        <f t="shared" si="2"/>
        <v>0</v>
      </c>
      <c r="N25" s="39">
        <f t="shared" si="1"/>
        <v>0</v>
      </c>
    </row>
    <row r="26" spans="1:14" x14ac:dyDescent="0.25">
      <c r="A26" s="59">
        <v>43.2</v>
      </c>
      <c r="B26" s="79" t="s">
        <v>75</v>
      </c>
      <c r="C26" s="54">
        <v>40793.152871337035</v>
      </c>
      <c r="D26" s="29">
        <v>0</v>
      </c>
      <c r="E26" s="39"/>
      <c r="F26" s="5"/>
      <c r="G26" s="5"/>
      <c r="H26" s="39">
        <f>SUM(D26+G26)/2</f>
        <v>0</v>
      </c>
      <c r="I26" s="74">
        <f>C26+H26</f>
        <v>40793.152871337035</v>
      </c>
      <c r="J26" s="75">
        <v>0.5</v>
      </c>
      <c r="K26" s="5"/>
      <c r="L26" s="5"/>
      <c r="M26" s="76">
        <f t="shared" si="2"/>
        <v>20396.576435668518</v>
      </c>
      <c r="N26" s="39">
        <f t="shared" si="1"/>
        <v>20396.576435668518</v>
      </c>
    </row>
    <row r="27" spans="1:14" x14ac:dyDescent="0.25">
      <c r="A27" s="59">
        <v>14.1</v>
      </c>
      <c r="B27" s="79" t="s">
        <v>74</v>
      </c>
      <c r="C27" s="54">
        <v>4145249.01</v>
      </c>
      <c r="E27" s="39"/>
      <c r="F27" s="5"/>
      <c r="G27" s="5"/>
      <c r="H27" s="39"/>
      <c r="I27" s="74">
        <f>C27</f>
        <v>4145249.01</v>
      </c>
      <c r="J27" s="75">
        <v>7.0000000000000007E-2</v>
      </c>
      <c r="K27" s="5"/>
      <c r="L27" s="5"/>
      <c r="M27" s="76">
        <f t="shared" si="2"/>
        <v>290167.43070000003</v>
      </c>
      <c r="N27" s="39">
        <f t="shared" si="1"/>
        <v>3855081.5792999999</v>
      </c>
    </row>
    <row r="28" spans="1:14" x14ac:dyDescent="0.25">
      <c r="A28" s="59">
        <v>14.1</v>
      </c>
      <c r="B28" s="80" t="s">
        <v>73</v>
      </c>
      <c r="C28" s="54">
        <v>8432.2000000000007</v>
      </c>
      <c r="D28" s="29">
        <v>1033371.9749999999</v>
      </c>
      <c r="E28" s="39"/>
      <c r="F28" s="5"/>
      <c r="G28" s="5"/>
      <c r="H28" s="39"/>
      <c r="I28" s="74">
        <f>C28+D28</f>
        <v>1041804.1749999998</v>
      </c>
      <c r="J28" s="75">
        <v>0.05</v>
      </c>
      <c r="K28" s="5"/>
      <c r="L28" s="5"/>
      <c r="M28" s="76">
        <f t="shared" si="2"/>
        <v>52090.208749999991</v>
      </c>
      <c r="N28" s="39">
        <f t="shared" si="1"/>
        <v>989713.96624999982</v>
      </c>
    </row>
    <row r="29" spans="1:14" ht="15.75" x14ac:dyDescent="0.25">
      <c r="A29" s="60">
        <v>95</v>
      </c>
      <c r="B29" s="60" t="s">
        <v>10</v>
      </c>
      <c r="C29" s="54">
        <v>11397824</v>
      </c>
      <c r="D29" s="29">
        <v>5974150</v>
      </c>
      <c r="E29" s="39"/>
      <c r="F29" s="2">
        <v>0</v>
      </c>
      <c r="G29" s="81"/>
      <c r="H29" s="39">
        <v>0</v>
      </c>
      <c r="I29" s="39">
        <f>C29+D29+F29</f>
        <v>17371974</v>
      </c>
      <c r="J29" s="75">
        <v>0</v>
      </c>
      <c r="K29" s="2"/>
      <c r="L29" s="2"/>
      <c r="M29" s="76">
        <f t="shared" si="2"/>
        <v>0</v>
      </c>
      <c r="N29" s="39">
        <f t="shared" si="1"/>
        <v>17371974</v>
      </c>
    </row>
    <row r="30" spans="1:14" ht="15.75" thickBot="1" x14ac:dyDescent="0.3">
      <c r="A30" s="61" t="s">
        <v>11</v>
      </c>
      <c r="B30" s="62"/>
      <c r="C30" s="63">
        <f t="shared" ref="C30:I30" si="3">SUM(C6:C29)</f>
        <v>229950070.69762731</v>
      </c>
      <c r="D30" s="64">
        <f t="shared" si="3"/>
        <v>27382324.975000001</v>
      </c>
      <c r="E30" s="64">
        <f t="shared" si="3"/>
        <v>0</v>
      </c>
      <c r="F30" s="23">
        <f t="shared" si="3"/>
        <v>0</v>
      </c>
      <c r="G30" s="27">
        <f t="shared" si="3"/>
        <v>-158914</v>
      </c>
      <c r="H30" s="63">
        <f t="shared" si="3"/>
        <v>9983445.5</v>
      </c>
      <c r="I30" s="63">
        <f t="shared" si="3"/>
        <v>247190036.17262733</v>
      </c>
      <c r="J30" s="63" t="s">
        <v>0</v>
      </c>
      <c r="K30" s="63">
        <f>SUM(K6:K29)</f>
        <v>0</v>
      </c>
      <c r="L30" s="63">
        <f>SUM(L6:L29)</f>
        <v>0</v>
      </c>
      <c r="M30" s="63">
        <f>SUM(M6:M29)</f>
        <v>17262760.084483925</v>
      </c>
      <c r="N30" s="63">
        <f>SUM(N6:N29)</f>
        <v>239910721.58814335</v>
      </c>
    </row>
    <row r="31" spans="1:14" ht="15.75" thickTop="1" x14ac:dyDescent="0.25"/>
    <row r="32" spans="1:14" x14ac:dyDescent="0.25">
      <c r="A32" s="68" t="s">
        <v>97</v>
      </c>
      <c r="B32" s="68" t="s">
        <v>65</v>
      </c>
      <c r="D32" s="82"/>
      <c r="E32" s="82"/>
    </row>
    <row r="33" spans="1:14" ht="30" x14ac:dyDescent="0.25">
      <c r="A33" s="53" t="s">
        <v>2</v>
      </c>
      <c r="B33" s="53" t="s">
        <v>3</v>
      </c>
      <c r="C33" s="53" t="s">
        <v>63</v>
      </c>
      <c r="D33" s="69" t="s">
        <v>60</v>
      </c>
      <c r="E33" s="69" t="s">
        <v>69</v>
      </c>
      <c r="F33" s="69" t="s">
        <v>4</v>
      </c>
      <c r="G33" s="69" t="s">
        <v>12</v>
      </c>
      <c r="H33" s="69" t="s">
        <v>5</v>
      </c>
      <c r="I33" s="69" t="s">
        <v>6</v>
      </c>
      <c r="J33" s="69" t="s">
        <v>57</v>
      </c>
      <c r="K33" s="69" t="s">
        <v>58</v>
      </c>
      <c r="L33" s="69" t="s">
        <v>7</v>
      </c>
      <c r="M33" s="69" t="s">
        <v>64</v>
      </c>
      <c r="N33" s="69" t="s">
        <v>8</v>
      </c>
    </row>
    <row r="34" spans="1:14" x14ac:dyDescent="0.25">
      <c r="A34" s="53"/>
      <c r="B34" s="53"/>
      <c r="C34" s="70"/>
      <c r="D34" s="28"/>
      <c r="E34" s="39"/>
      <c r="F34" s="1"/>
      <c r="G34" s="1"/>
      <c r="H34" s="1"/>
      <c r="I34" s="71"/>
      <c r="J34" s="72"/>
      <c r="K34" s="1"/>
      <c r="L34" s="1"/>
      <c r="M34" s="73"/>
      <c r="N34" s="73"/>
    </row>
    <row r="35" spans="1:14" x14ac:dyDescent="0.25">
      <c r="A35" s="3">
        <v>1</v>
      </c>
      <c r="B35" s="3" t="s">
        <v>94</v>
      </c>
      <c r="C35" s="54">
        <f>N6</f>
        <v>79946529.844767556</v>
      </c>
      <c r="D35" s="29">
        <v>0</v>
      </c>
      <c r="E35" s="39"/>
      <c r="F35" s="2"/>
      <c r="G35" s="2"/>
      <c r="H35" s="39">
        <f>SUM(D35+G35)/2</f>
        <v>0</v>
      </c>
      <c r="I35" s="74">
        <f>C35+H35</f>
        <v>79946529.844767556</v>
      </c>
      <c r="J35" s="75">
        <v>0.04</v>
      </c>
      <c r="K35" s="2"/>
      <c r="L35" s="2"/>
      <c r="M35" s="39">
        <f t="shared" ref="M35:M47" si="4">I35*J35/365*90</f>
        <v>788513.71901688538</v>
      </c>
      <c r="N35" s="39">
        <f t="shared" ref="N35:N58" si="5">H35+I35-M35</f>
        <v>79158016.125750676</v>
      </c>
    </row>
    <row r="36" spans="1:14" x14ac:dyDescent="0.25">
      <c r="A36" s="55" t="s">
        <v>92</v>
      </c>
      <c r="B36" s="3" t="s">
        <v>93</v>
      </c>
      <c r="C36" s="54">
        <f>N7</f>
        <v>9608512.0082090702</v>
      </c>
      <c r="D36" s="29">
        <v>0</v>
      </c>
      <c r="E36" s="39">
        <v>0</v>
      </c>
      <c r="F36" s="2" t="s">
        <v>0</v>
      </c>
      <c r="G36" s="2"/>
      <c r="H36" s="74">
        <f>SUM(D36+G36)/2</f>
        <v>0</v>
      </c>
      <c r="I36" s="2">
        <f>C36+H36</f>
        <v>9608512.0082090702</v>
      </c>
      <c r="J36" s="75">
        <v>0.06</v>
      </c>
      <c r="K36" s="2"/>
      <c r="L36" s="2"/>
      <c r="M36" s="76">
        <f t="shared" si="4"/>
        <v>142153.32834062734</v>
      </c>
      <c r="N36" s="39">
        <f t="shared" si="5"/>
        <v>9466358.6798684429</v>
      </c>
    </row>
    <row r="37" spans="1:14" x14ac:dyDescent="0.25">
      <c r="A37" s="55" t="s">
        <v>92</v>
      </c>
      <c r="B37" s="3" t="s">
        <v>91</v>
      </c>
      <c r="C37" s="54">
        <f t="shared" ref="C37:C58" si="6">N8</f>
        <v>0</v>
      </c>
      <c r="D37" s="29">
        <v>0</v>
      </c>
      <c r="E37" s="39">
        <v>0</v>
      </c>
      <c r="F37" s="2"/>
      <c r="G37" s="2"/>
      <c r="H37" s="74">
        <f>SUM(D37+G37)/2</f>
        <v>0</v>
      </c>
      <c r="I37" s="74">
        <f>C37+E37+G37</f>
        <v>0</v>
      </c>
      <c r="J37" s="75">
        <f>J36</f>
        <v>0.06</v>
      </c>
      <c r="K37" s="2"/>
      <c r="L37" s="2"/>
      <c r="M37" s="39">
        <f t="shared" si="4"/>
        <v>0</v>
      </c>
      <c r="N37" s="39">
        <f t="shared" si="5"/>
        <v>0</v>
      </c>
    </row>
    <row r="38" spans="1:14" x14ac:dyDescent="0.25">
      <c r="A38" s="56">
        <v>8</v>
      </c>
      <c r="B38" s="56" t="s">
        <v>90</v>
      </c>
      <c r="C38" s="54">
        <f t="shared" si="6"/>
        <v>4376515.0635264814</v>
      </c>
      <c r="D38" s="67">
        <v>18468</v>
      </c>
      <c r="E38" s="29">
        <v>0</v>
      </c>
      <c r="F38" s="2"/>
      <c r="G38" s="2"/>
      <c r="H38" s="74">
        <f>SUM(D38+G38)/2</f>
        <v>9234</v>
      </c>
      <c r="I38" s="2">
        <f>C38+H38</f>
        <v>4385749.0635264814</v>
      </c>
      <c r="J38" s="75">
        <v>0.2</v>
      </c>
      <c r="K38" s="2"/>
      <c r="L38" s="2"/>
      <c r="M38" s="76">
        <f t="shared" si="4"/>
        <v>216283.51546157993</v>
      </c>
      <c r="N38" s="39">
        <f t="shared" si="5"/>
        <v>4178699.5480649015</v>
      </c>
    </row>
    <row r="39" spans="1:14" x14ac:dyDescent="0.25">
      <c r="A39" s="56">
        <v>8</v>
      </c>
      <c r="B39" s="56" t="s">
        <v>62</v>
      </c>
      <c r="C39" s="54">
        <f t="shared" si="6"/>
        <v>0</v>
      </c>
      <c r="D39" s="29">
        <v>0</v>
      </c>
      <c r="E39" s="39">
        <v>0</v>
      </c>
      <c r="F39" s="2"/>
      <c r="G39" s="2"/>
      <c r="H39" s="39"/>
      <c r="I39" s="74">
        <f>C39+E39+G39</f>
        <v>0</v>
      </c>
      <c r="J39" s="75">
        <f>J38</f>
        <v>0.2</v>
      </c>
      <c r="K39" s="2"/>
      <c r="L39" s="2"/>
      <c r="M39" s="39">
        <f t="shared" si="4"/>
        <v>0</v>
      </c>
      <c r="N39" s="39">
        <f t="shared" si="5"/>
        <v>0</v>
      </c>
    </row>
    <row r="40" spans="1:14" x14ac:dyDescent="0.25">
      <c r="A40" s="3">
        <v>10</v>
      </c>
      <c r="B40" s="3" t="s">
        <v>9</v>
      </c>
      <c r="C40" s="54">
        <f t="shared" si="6"/>
        <v>2354169.5066425763</v>
      </c>
      <c r="D40" s="29">
        <v>121663</v>
      </c>
      <c r="E40" s="39">
        <v>0</v>
      </c>
      <c r="F40" s="2"/>
      <c r="G40" s="2">
        <v>0</v>
      </c>
      <c r="H40" s="74">
        <f>SUM(D40+G40)/2</f>
        <v>60831.5</v>
      </c>
      <c r="I40" s="74">
        <f>C40+H40</f>
        <v>2415001.0066425763</v>
      </c>
      <c r="J40" s="75">
        <v>0.3</v>
      </c>
      <c r="K40" s="2"/>
      <c r="L40" s="2"/>
      <c r="M40" s="39">
        <f t="shared" si="4"/>
        <v>178643.91008040973</v>
      </c>
      <c r="N40" s="39">
        <f t="shared" si="5"/>
        <v>2297188.5965621667</v>
      </c>
    </row>
    <row r="41" spans="1:14" x14ac:dyDescent="0.25">
      <c r="A41" s="3">
        <v>10</v>
      </c>
      <c r="B41" s="3" t="s">
        <v>89</v>
      </c>
      <c r="C41" s="54">
        <f t="shared" si="6"/>
        <v>0</v>
      </c>
      <c r="D41" s="29">
        <v>0</v>
      </c>
      <c r="E41" s="39">
        <v>0</v>
      </c>
      <c r="F41" s="2"/>
      <c r="G41" s="2"/>
      <c r="H41" s="39"/>
      <c r="I41" s="74">
        <f>C41+E41+G41</f>
        <v>0</v>
      </c>
      <c r="J41" s="75">
        <f>J40</f>
        <v>0.3</v>
      </c>
      <c r="K41" s="2"/>
      <c r="L41" s="2"/>
      <c r="M41" s="39">
        <f t="shared" si="4"/>
        <v>0</v>
      </c>
      <c r="N41" s="39">
        <f t="shared" si="5"/>
        <v>0</v>
      </c>
    </row>
    <row r="42" spans="1:14" x14ac:dyDescent="0.25">
      <c r="A42" s="56">
        <v>10.1</v>
      </c>
      <c r="B42" s="3" t="s">
        <v>88</v>
      </c>
      <c r="C42" s="54">
        <f t="shared" si="6"/>
        <v>802.27006076700013</v>
      </c>
      <c r="D42" s="29">
        <v>0</v>
      </c>
      <c r="E42" s="39">
        <v>0</v>
      </c>
      <c r="F42" s="2"/>
      <c r="G42" s="2"/>
      <c r="H42" s="39">
        <f>SUM(D42+G42)/2</f>
        <v>0</v>
      </c>
      <c r="I42" s="74">
        <f>C42+H42</f>
        <v>802.27006076700013</v>
      </c>
      <c r="J42" s="75">
        <v>0.3</v>
      </c>
      <c r="K42" s="2"/>
      <c r="L42" s="2"/>
      <c r="M42" s="39">
        <f t="shared" si="4"/>
        <v>59.346004495093155</v>
      </c>
      <c r="N42" s="39">
        <f t="shared" si="5"/>
        <v>742.92405627190692</v>
      </c>
    </row>
    <row r="43" spans="1:14" x14ac:dyDescent="0.25">
      <c r="A43" s="56">
        <v>10.1</v>
      </c>
      <c r="B43" s="3" t="s">
        <v>87</v>
      </c>
      <c r="C43" s="54">
        <f t="shared" si="6"/>
        <v>803.72279061900031</v>
      </c>
      <c r="D43" s="29">
        <v>0</v>
      </c>
      <c r="E43" s="39">
        <v>0</v>
      </c>
      <c r="F43" s="2"/>
      <c r="G43" s="2"/>
      <c r="H43" s="39">
        <f>SUM(D43+G43)/2</f>
        <v>0</v>
      </c>
      <c r="I43" s="74">
        <f>C43+H43</f>
        <v>803.72279061900031</v>
      </c>
      <c r="J43" s="75">
        <v>0.3</v>
      </c>
      <c r="K43" s="2"/>
      <c r="L43" s="2"/>
      <c r="M43" s="39">
        <f t="shared" si="4"/>
        <v>59.453466703323308</v>
      </c>
      <c r="N43" s="39">
        <f t="shared" si="5"/>
        <v>744.26932391567698</v>
      </c>
    </row>
    <row r="44" spans="1:14" x14ac:dyDescent="0.25">
      <c r="A44" s="56">
        <v>10.1</v>
      </c>
      <c r="B44" s="3" t="s">
        <v>86</v>
      </c>
      <c r="C44" s="54">
        <f t="shared" si="6"/>
        <v>1162.7891857050001</v>
      </c>
      <c r="D44" s="29">
        <v>0</v>
      </c>
      <c r="E44" s="39">
        <v>0</v>
      </c>
      <c r="F44" s="2"/>
      <c r="G44" s="2"/>
      <c r="H44" s="39">
        <f>SUM(D44+G44)/2</f>
        <v>0</v>
      </c>
      <c r="I44" s="74">
        <f>C44+H44</f>
        <v>1162.7891857050001</v>
      </c>
      <c r="J44" s="75">
        <v>0.3</v>
      </c>
      <c r="K44" s="2"/>
      <c r="L44" s="2"/>
      <c r="M44" s="39">
        <f t="shared" si="4"/>
        <v>86.01454250420548</v>
      </c>
      <c r="N44" s="39">
        <f t="shared" si="5"/>
        <v>1076.7746432007946</v>
      </c>
    </row>
    <row r="45" spans="1:14" x14ac:dyDescent="0.25">
      <c r="A45" s="56">
        <v>10.1</v>
      </c>
      <c r="B45" s="3" t="s">
        <v>85</v>
      </c>
      <c r="C45" s="54">
        <f t="shared" si="6"/>
        <v>1661.0294065329999</v>
      </c>
      <c r="D45" s="29">
        <v>0</v>
      </c>
      <c r="E45" s="39">
        <v>0</v>
      </c>
      <c r="F45" s="2"/>
      <c r="G45" s="2"/>
      <c r="H45" s="39">
        <f>SUM(D45+G45)/2</f>
        <v>0</v>
      </c>
      <c r="I45" s="74">
        <f>C45+H45</f>
        <v>1661.0294065329999</v>
      </c>
      <c r="J45" s="75">
        <v>0.3</v>
      </c>
      <c r="K45" s="2"/>
      <c r="L45" s="2"/>
      <c r="M45" s="39">
        <f t="shared" si="4"/>
        <v>122.87066842846849</v>
      </c>
      <c r="N45" s="39">
        <f t="shared" si="5"/>
        <v>1538.1587381045315</v>
      </c>
    </row>
    <row r="46" spans="1:14" x14ac:dyDescent="0.25">
      <c r="A46" s="56">
        <v>12</v>
      </c>
      <c r="B46" s="57" t="s">
        <v>84</v>
      </c>
      <c r="C46" s="54">
        <f t="shared" si="6"/>
        <v>297210.5</v>
      </c>
      <c r="D46" s="67">
        <v>6276</v>
      </c>
      <c r="E46" s="29">
        <v>0</v>
      </c>
      <c r="F46" s="2"/>
      <c r="G46" s="2"/>
      <c r="H46" s="39">
        <f>SUM(D46+G46)/2</f>
        <v>3138</v>
      </c>
      <c r="I46" s="74">
        <f>C46+H46</f>
        <v>300348.5</v>
      </c>
      <c r="J46" s="75">
        <v>1</v>
      </c>
      <c r="K46" s="2"/>
      <c r="L46" s="2"/>
      <c r="M46" s="39">
        <f t="shared" si="4"/>
        <v>74058.534246575349</v>
      </c>
      <c r="N46" s="39">
        <f t="shared" si="5"/>
        <v>229427.96575342465</v>
      </c>
    </row>
    <row r="47" spans="1:14" x14ac:dyDescent="0.25">
      <c r="A47" s="56">
        <v>12</v>
      </c>
      <c r="B47" s="57" t="s">
        <v>83</v>
      </c>
      <c r="C47" s="39">
        <f t="shared" si="6"/>
        <v>0</v>
      </c>
      <c r="D47" s="29">
        <v>0</v>
      </c>
      <c r="E47" s="39">
        <v>0</v>
      </c>
      <c r="F47" s="2"/>
      <c r="G47" s="2"/>
      <c r="H47" s="74"/>
      <c r="I47" s="74">
        <f>C47+E47+G47</f>
        <v>0</v>
      </c>
      <c r="J47" s="75">
        <f>J46</f>
        <v>1</v>
      </c>
      <c r="K47" s="2"/>
      <c r="L47" s="2"/>
      <c r="M47" s="39">
        <f t="shared" si="4"/>
        <v>0</v>
      </c>
      <c r="N47" s="39">
        <f t="shared" si="5"/>
        <v>0</v>
      </c>
    </row>
    <row r="48" spans="1:14" x14ac:dyDescent="0.25">
      <c r="A48" s="56">
        <v>13</v>
      </c>
      <c r="B48" s="57" t="s">
        <v>82</v>
      </c>
      <c r="C48" s="54">
        <f t="shared" si="6"/>
        <v>200413.12887666657</v>
      </c>
      <c r="D48" s="29">
        <v>0</v>
      </c>
      <c r="E48" s="39"/>
      <c r="F48" s="2"/>
      <c r="G48" s="2"/>
      <c r="H48" s="74">
        <v>0</v>
      </c>
      <c r="I48" s="74">
        <f>C48+D48</f>
        <v>200413.12887666657</v>
      </c>
      <c r="J48" s="75">
        <v>0</v>
      </c>
      <c r="K48" s="2"/>
      <c r="L48" s="77"/>
      <c r="M48" s="74">
        <v>12279</v>
      </c>
      <c r="N48" s="39">
        <f t="shared" si="5"/>
        <v>188134.12887666657</v>
      </c>
    </row>
    <row r="49" spans="1:14" x14ac:dyDescent="0.25">
      <c r="A49" s="56">
        <v>42</v>
      </c>
      <c r="B49" s="56" t="s">
        <v>81</v>
      </c>
      <c r="C49" s="54">
        <f t="shared" si="6"/>
        <v>2170.4087425823641</v>
      </c>
      <c r="D49" s="29">
        <v>0</v>
      </c>
      <c r="E49" s="39">
        <v>0</v>
      </c>
      <c r="F49" s="2"/>
      <c r="G49" s="2"/>
      <c r="H49" s="74">
        <f>SUM(D49+G49)/2</f>
        <v>0</v>
      </c>
      <c r="I49" s="76">
        <f>C49+H49</f>
        <v>2170.4087425823641</v>
      </c>
      <c r="J49" s="75">
        <v>0.12</v>
      </c>
      <c r="K49" s="2"/>
      <c r="L49" s="2"/>
      <c r="M49" s="39">
        <f t="shared" ref="M49:M58" si="7">I49*J49/365*90</f>
        <v>64.220313479149397</v>
      </c>
      <c r="N49" s="39">
        <f t="shared" si="5"/>
        <v>2106.1884291032147</v>
      </c>
    </row>
    <row r="50" spans="1:14" x14ac:dyDescent="0.25">
      <c r="A50" s="3">
        <v>45</v>
      </c>
      <c r="B50" s="3" t="s">
        <v>80</v>
      </c>
      <c r="C50" s="54">
        <f t="shared" si="6"/>
        <v>587.75069954783771</v>
      </c>
      <c r="D50" s="78">
        <v>0</v>
      </c>
      <c r="E50" s="39">
        <v>0</v>
      </c>
      <c r="F50" s="2"/>
      <c r="G50" s="2"/>
      <c r="H50" s="74">
        <f>SUM(D50+G50)/2</f>
        <v>0</v>
      </c>
      <c r="I50" s="2">
        <f>C50+H50</f>
        <v>587.75069954783771</v>
      </c>
      <c r="J50" s="75">
        <v>0.45</v>
      </c>
      <c r="K50" s="2"/>
      <c r="L50" s="2"/>
      <c r="M50" s="76">
        <f t="shared" si="7"/>
        <v>65.216173511472419</v>
      </c>
      <c r="N50" s="39">
        <f t="shared" si="5"/>
        <v>522.53452603636526</v>
      </c>
    </row>
    <row r="51" spans="1:14" ht="15.75" x14ac:dyDescent="0.25">
      <c r="A51" s="56">
        <v>47</v>
      </c>
      <c r="B51" s="56" t="s">
        <v>79</v>
      </c>
      <c r="C51" s="54">
        <f t="shared" si="6"/>
        <v>120281565.41168502</v>
      </c>
      <c r="D51" s="67">
        <v>2429247</v>
      </c>
      <c r="E51" s="29">
        <v>0</v>
      </c>
      <c r="F51" s="2">
        <v>0</v>
      </c>
      <c r="G51" s="67">
        <v>-13420</v>
      </c>
      <c r="H51" s="74">
        <f>SUM(D51+G51)/2</f>
        <v>1207913.5</v>
      </c>
      <c r="I51" s="74">
        <f>C51+H51</f>
        <v>121489478.91168502</v>
      </c>
      <c r="J51" s="75">
        <v>0.08</v>
      </c>
      <c r="K51" s="2"/>
      <c r="L51" s="2"/>
      <c r="M51" s="39">
        <f t="shared" si="7"/>
        <v>2396504.7894907729</v>
      </c>
      <c r="N51" s="39">
        <f t="shared" si="5"/>
        <v>120300887.62219425</v>
      </c>
    </row>
    <row r="52" spans="1:14" x14ac:dyDescent="0.25">
      <c r="A52" s="56">
        <v>47</v>
      </c>
      <c r="B52" s="56" t="s">
        <v>78</v>
      </c>
      <c r="C52" s="54">
        <f t="shared" si="6"/>
        <v>0</v>
      </c>
      <c r="D52" s="29">
        <v>0</v>
      </c>
      <c r="E52" s="39">
        <v>0</v>
      </c>
      <c r="F52" s="2"/>
      <c r="G52" s="2">
        <v>0</v>
      </c>
      <c r="H52" s="74">
        <v>0</v>
      </c>
      <c r="I52" s="2">
        <f>C52+E52+G52</f>
        <v>0</v>
      </c>
      <c r="J52" s="75">
        <f>J51</f>
        <v>0.08</v>
      </c>
      <c r="K52" s="2"/>
      <c r="L52" s="2"/>
      <c r="M52" s="76">
        <f t="shared" si="7"/>
        <v>0</v>
      </c>
      <c r="N52" s="39">
        <f t="shared" si="5"/>
        <v>0</v>
      </c>
    </row>
    <row r="53" spans="1:14" x14ac:dyDescent="0.25">
      <c r="A53" s="3">
        <v>50</v>
      </c>
      <c r="B53" s="3" t="s">
        <v>77</v>
      </c>
      <c r="C53" s="54">
        <f t="shared" si="6"/>
        <v>601452.031564584</v>
      </c>
      <c r="D53" s="29">
        <v>0</v>
      </c>
      <c r="E53" s="39">
        <v>0</v>
      </c>
      <c r="F53" s="2">
        <v>0</v>
      </c>
      <c r="G53" s="2">
        <v>-1360</v>
      </c>
      <c r="H53" s="74">
        <f>SUM(D53+G53)/2</f>
        <v>-680</v>
      </c>
      <c r="I53" s="74">
        <f>C53+H53+F53</f>
        <v>600772.031564584</v>
      </c>
      <c r="J53" s="75">
        <v>0.55000000000000004</v>
      </c>
      <c r="K53" s="2"/>
      <c r="L53" s="2"/>
      <c r="M53" s="39">
        <f t="shared" si="7"/>
        <v>81474.563184786064</v>
      </c>
      <c r="N53" s="39">
        <f t="shared" si="5"/>
        <v>518617.46837979794</v>
      </c>
    </row>
    <row r="54" spans="1:14" x14ac:dyDescent="0.25">
      <c r="A54" s="58">
        <v>50</v>
      </c>
      <c r="B54" s="3" t="s">
        <v>76</v>
      </c>
      <c r="C54" s="54">
        <f t="shared" si="6"/>
        <v>0</v>
      </c>
      <c r="D54" s="29">
        <v>0</v>
      </c>
      <c r="E54" s="39">
        <v>0</v>
      </c>
      <c r="F54" s="5"/>
      <c r="G54" s="5">
        <v>0</v>
      </c>
      <c r="H54" s="39"/>
      <c r="I54" s="2">
        <f>C54+E54+G54</f>
        <v>0</v>
      </c>
      <c r="J54" s="75">
        <f>J53</f>
        <v>0.55000000000000004</v>
      </c>
      <c r="K54" s="5"/>
      <c r="L54" s="5"/>
      <c r="M54" s="76">
        <f t="shared" si="7"/>
        <v>0</v>
      </c>
      <c r="N54" s="39">
        <f t="shared" si="5"/>
        <v>0</v>
      </c>
    </row>
    <row r="55" spans="1:14" x14ac:dyDescent="0.25">
      <c r="A55" s="59">
        <v>43.2</v>
      </c>
      <c r="B55" s="79" t="s">
        <v>75</v>
      </c>
      <c r="C55" s="54">
        <f t="shared" si="6"/>
        <v>20396.576435668518</v>
      </c>
      <c r="D55" s="29">
        <v>0</v>
      </c>
      <c r="E55" s="39">
        <v>0</v>
      </c>
      <c r="F55" s="5"/>
      <c r="G55" s="5"/>
      <c r="H55" s="39">
        <f>SUM(D55+G55)/2</f>
        <v>0</v>
      </c>
      <c r="I55" s="74">
        <f>C55+H55</f>
        <v>20396.576435668518</v>
      </c>
      <c r="J55" s="75">
        <v>0.5</v>
      </c>
      <c r="K55" s="5"/>
      <c r="L55" s="5"/>
      <c r="M55" s="39">
        <f t="shared" si="7"/>
        <v>2514.6464098769407</v>
      </c>
      <c r="N55" s="39">
        <f t="shared" si="5"/>
        <v>17881.930025791578</v>
      </c>
    </row>
    <row r="56" spans="1:14" x14ac:dyDescent="0.25">
      <c r="A56" s="59">
        <v>14.1</v>
      </c>
      <c r="B56" s="79" t="s">
        <v>74</v>
      </c>
      <c r="C56" s="54">
        <f t="shared" si="6"/>
        <v>3855081.5792999999</v>
      </c>
      <c r="D56" s="67">
        <v>0</v>
      </c>
      <c r="E56" s="39">
        <v>0</v>
      </c>
      <c r="F56" s="5"/>
      <c r="G56" s="5"/>
      <c r="H56" s="39"/>
      <c r="I56" s="74">
        <f>C56</f>
        <v>3855081.5792999999</v>
      </c>
      <c r="J56" s="75">
        <v>7.0000000000000007E-2</v>
      </c>
      <c r="K56" s="5"/>
      <c r="L56" s="5"/>
      <c r="M56" s="39">
        <f t="shared" si="7"/>
        <v>66539.764245452068</v>
      </c>
      <c r="N56" s="39">
        <f t="shared" si="5"/>
        <v>3788541.815054548</v>
      </c>
    </row>
    <row r="57" spans="1:14" x14ac:dyDescent="0.25">
      <c r="A57" s="59">
        <v>14.1</v>
      </c>
      <c r="B57" s="80" t="s">
        <v>73</v>
      </c>
      <c r="C57" s="54">
        <f t="shared" si="6"/>
        <v>989713.96624999982</v>
      </c>
      <c r="D57" s="29">
        <v>368266</v>
      </c>
      <c r="E57" s="39">
        <v>0</v>
      </c>
      <c r="F57" s="5"/>
      <c r="G57" s="5"/>
      <c r="H57" s="39">
        <f>SUM(D57+G57)/2</f>
        <v>184133</v>
      </c>
      <c r="I57" s="74">
        <f>C57+H57</f>
        <v>1173846.9662499998</v>
      </c>
      <c r="J57" s="75">
        <v>0.05</v>
      </c>
      <c r="K57" s="5"/>
      <c r="L57" s="5"/>
      <c r="M57" s="39">
        <f t="shared" si="7"/>
        <v>14472.085885273969</v>
      </c>
      <c r="N57" s="39">
        <f t="shared" si="5"/>
        <v>1343507.8803647258</v>
      </c>
    </row>
    <row r="58" spans="1:14" ht="15.75" x14ac:dyDescent="0.25">
      <c r="A58" s="60">
        <v>95</v>
      </c>
      <c r="B58" s="60" t="s">
        <v>10</v>
      </c>
      <c r="C58" s="54">
        <f t="shared" si="6"/>
        <v>17371974</v>
      </c>
      <c r="D58" s="29">
        <v>3626398</v>
      </c>
      <c r="E58" s="39">
        <v>0</v>
      </c>
      <c r="F58" s="2">
        <v>-52317</v>
      </c>
      <c r="G58" s="81"/>
      <c r="H58" s="39">
        <v>0</v>
      </c>
      <c r="I58" s="39">
        <f>C58+D58+E58+F58</f>
        <v>20946055</v>
      </c>
      <c r="J58" s="75">
        <v>0</v>
      </c>
      <c r="K58" s="2"/>
      <c r="L58" s="2"/>
      <c r="M58" s="39">
        <f t="shared" si="7"/>
        <v>0</v>
      </c>
      <c r="N58" s="39">
        <f t="shared" si="5"/>
        <v>20946055</v>
      </c>
    </row>
    <row r="59" spans="1:14" ht="15.75" thickBot="1" x14ac:dyDescent="0.3">
      <c r="A59" s="61" t="s">
        <v>11</v>
      </c>
      <c r="B59" s="62"/>
      <c r="C59" s="63">
        <f>SUM(C35:C58)</f>
        <v>239910721.58814335</v>
      </c>
      <c r="D59" s="64">
        <f t="shared" ref="D59:I59" si="8">SUM(D35:D58)</f>
        <v>6570318</v>
      </c>
      <c r="E59" s="64">
        <f t="shared" si="8"/>
        <v>0</v>
      </c>
      <c r="F59" s="23">
        <f t="shared" si="8"/>
        <v>-52317</v>
      </c>
      <c r="G59" s="27">
        <f t="shared" si="8"/>
        <v>-14780</v>
      </c>
      <c r="H59" s="63">
        <f t="shared" si="8"/>
        <v>1464570</v>
      </c>
      <c r="I59" s="63">
        <f t="shared" si="8"/>
        <v>244949372.58814335</v>
      </c>
      <c r="J59" s="63" t="s">
        <v>0</v>
      </c>
      <c r="K59" s="63">
        <f>SUM(K35:K58)</f>
        <v>0</v>
      </c>
      <c r="L59" s="63">
        <f>SUM(L35:L58)</f>
        <v>0</v>
      </c>
      <c r="M59" s="63">
        <f>SUM(M35:M58)</f>
        <v>3973894.9775313614</v>
      </c>
      <c r="N59" s="63">
        <f>SUM(N35:N58)</f>
        <v>242440047.610612</v>
      </c>
    </row>
    <row r="60" spans="1:14" ht="15.75" thickTop="1" x14ac:dyDescent="0.25">
      <c r="A60" s="52" t="s">
        <v>154</v>
      </c>
    </row>
    <row r="61" spans="1:14" x14ac:dyDescent="0.25">
      <c r="A61" s="68">
        <v>2019</v>
      </c>
      <c r="B61" s="68" t="s">
        <v>65</v>
      </c>
    </row>
    <row r="62" spans="1:14" ht="30" x14ac:dyDescent="0.25">
      <c r="A62" s="53" t="s">
        <v>2</v>
      </c>
      <c r="B62" s="53" t="s">
        <v>3</v>
      </c>
      <c r="C62" s="53" t="s">
        <v>63</v>
      </c>
      <c r="D62" s="69" t="s">
        <v>60</v>
      </c>
      <c r="E62" s="69" t="s">
        <v>69</v>
      </c>
      <c r="F62" s="69" t="s">
        <v>4</v>
      </c>
      <c r="G62" s="69" t="s">
        <v>12</v>
      </c>
      <c r="H62" s="69" t="s">
        <v>5</v>
      </c>
      <c r="I62" s="69" t="s">
        <v>6</v>
      </c>
      <c r="J62" s="69" t="s">
        <v>57</v>
      </c>
      <c r="K62" s="69" t="s">
        <v>58</v>
      </c>
      <c r="L62" s="69" t="s">
        <v>7</v>
      </c>
      <c r="M62" s="69" t="s">
        <v>100</v>
      </c>
      <c r="N62" s="69" t="s">
        <v>8</v>
      </c>
    </row>
    <row r="63" spans="1:14" x14ac:dyDescent="0.25">
      <c r="A63" s="53"/>
      <c r="B63" s="53"/>
      <c r="C63" s="70"/>
      <c r="D63" s="28"/>
      <c r="E63" s="39"/>
      <c r="F63" s="1"/>
      <c r="G63" s="1"/>
      <c r="H63" s="1"/>
      <c r="I63" s="71"/>
      <c r="J63" s="72"/>
      <c r="K63" s="1"/>
      <c r="L63" s="1"/>
      <c r="M63" s="73"/>
      <c r="N63" s="73"/>
    </row>
    <row r="64" spans="1:14" x14ac:dyDescent="0.25">
      <c r="A64" s="3">
        <v>1</v>
      </c>
      <c r="B64" s="3" t="s">
        <v>94</v>
      </c>
      <c r="C64" s="54">
        <f>N35</f>
        <v>79158016.125750676</v>
      </c>
      <c r="D64" s="29">
        <v>0</v>
      </c>
      <c r="E64" s="39"/>
      <c r="F64" s="2"/>
      <c r="G64" s="2"/>
      <c r="H64" s="39">
        <f>SUM(D64+G64)/2</f>
        <v>0</v>
      </c>
      <c r="I64" s="74">
        <f>C64+H64</f>
        <v>79158016.125750676</v>
      </c>
      <c r="J64" s="75">
        <v>0.04</v>
      </c>
      <c r="K64" s="2"/>
      <c r="L64" s="2"/>
      <c r="M64" s="39">
        <f t="shared" ref="M64:M76" si="9">I64*J64/365*275</f>
        <v>2385584.0476253633</v>
      </c>
      <c r="N64" s="39">
        <f t="shared" ref="N64:N87" si="10">H64+I64-M64</f>
        <v>76772432.078125313</v>
      </c>
    </row>
    <row r="65" spans="1:14" x14ac:dyDescent="0.25">
      <c r="A65" s="55" t="s">
        <v>92</v>
      </c>
      <c r="B65" s="3" t="s">
        <v>93</v>
      </c>
      <c r="C65" s="54">
        <f>N36</f>
        <v>9466358.6798684429</v>
      </c>
      <c r="D65" s="29">
        <f>'VRZ_CCA_w accel CCA'!E69</f>
        <v>538153.99000000022</v>
      </c>
      <c r="E65" s="39">
        <v>0</v>
      </c>
      <c r="F65" s="2" t="s">
        <v>0</v>
      </c>
      <c r="G65" s="2"/>
      <c r="H65" s="74">
        <f>SUM(D65+G65)/2</f>
        <v>269076.99500000011</v>
      </c>
      <c r="I65" s="2">
        <f>C65+H65</f>
        <v>9735435.6748684421</v>
      </c>
      <c r="J65" s="75">
        <v>0.06</v>
      </c>
      <c r="K65" s="2"/>
      <c r="L65" s="2"/>
      <c r="M65" s="76">
        <f t="shared" si="9"/>
        <v>440095.03735706658</v>
      </c>
      <c r="N65" s="39">
        <f t="shared" si="10"/>
        <v>9564417.6325113773</v>
      </c>
    </row>
    <row r="66" spans="1:14" x14ac:dyDescent="0.25">
      <c r="A66" s="55" t="s">
        <v>92</v>
      </c>
      <c r="B66" s="3" t="s">
        <v>91</v>
      </c>
      <c r="C66" s="54">
        <f t="shared" ref="C66:C86" si="11">N37</f>
        <v>0</v>
      </c>
      <c r="D66" s="29">
        <v>0</v>
      </c>
      <c r="E66" s="39">
        <v>0</v>
      </c>
      <c r="F66" s="2"/>
      <c r="G66" s="2"/>
      <c r="H66" s="74">
        <f>SUM(D66+G66)/2</f>
        <v>0</v>
      </c>
      <c r="I66" s="74">
        <f>C66+E66+G66</f>
        <v>0</v>
      </c>
      <c r="J66" s="75">
        <f>J65</f>
        <v>0.06</v>
      </c>
      <c r="K66" s="2"/>
      <c r="L66" s="2"/>
      <c r="M66" s="39">
        <f t="shared" si="9"/>
        <v>0</v>
      </c>
      <c r="N66" s="39">
        <f t="shared" si="10"/>
        <v>0</v>
      </c>
    </row>
    <row r="67" spans="1:14" x14ac:dyDescent="0.25">
      <c r="A67" s="56">
        <v>8</v>
      </c>
      <c r="B67" s="56" t="s">
        <v>90</v>
      </c>
      <c r="C67" s="54">
        <f t="shared" si="11"/>
        <v>4178699.5480649015</v>
      </c>
      <c r="D67" s="67">
        <f>'VRZ_CCA_w accel CCA'!E71</f>
        <v>840187.12999999896</v>
      </c>
      <c r="E67" s="29">
        <v>0</v>
      </c>
      <c r="F67" s="2"/>
      <c r="G67" s="2"/>
      <c r="H67" s="74">
        <f>SUM(D67+G67)/2</f>
        <v>420093.56499999948</v>
      </c>
      <c r="I67" s="2">
        <f>C67+H67</f>
        <v>4598793.113064901</v>
      </c>
      <c r="J67" s="75">
        <v>0.2</v>
      </c>
      <c r="K67" s="2"/>
      <c r="L67" s="2"/>
      <c r="M67" s="76">
        <f t="shared" si="9"/>
        <v>692968.82525635487</v>
      </c>
      <c r="N67" s="39">
        <f t="shared" si="10"/>
        <v>4325917.8528085453</v>
      </c>
    </row>
    <row r="68" spans="1:14" x14ac:dyDescent="0.25">
      <c r="A68" s="56">
        <v>8</v>
      </c>
      <c r="B68" s="56" t="s">
        <v>62</v>
      </c>
      <c r="C68" s="54">
        <f t="shared" si="11"/>
        <v>0</v>
      </c>
      <c r="D68" s="29">
        <v>0</v>
      </c>
      <c r="E68" s="39">
        <v>0</v>
      </c>
      <c r="F68" s="2"/>
      <c r="G68" s="2"/>
      <c r="H68" s="39"/>
      <c r="I68" s="74">
        <f>C68+E68+G68</f>
        <v>0</v>
      </c>
      <c r="J68" s="75">
        <f>J67</f>
        <v>0.2</v>
      </c>
      <c r="K68" s="2"/>
      <c r="L68" s="2"/>
      <c r="M68" s="39">
        <f t="shared" si="9"/>
        <v>0</v>
      </c>
      <c r="N68" s="39">
        <f t="shared" si="10"/>
        <v>0</v>
      </c>
    </row>
    <row r="69" spans="1:14" x14ac:dyDescent="0.25">
      <c r="A69" s="3">
        <v>10</v>
      </c>
      <c r="B69" s="3" t="s">
        <v>9</v>
      </c>
      <c r="C69" s="54">
        <f t="shared" si="11"/>
        <v>2297188.5965621667</v>
      </c>
      <c r="D69" s="29">
        <f>'VRZ_CCA_w accel CCA'!E73</f>
        <v>1537077.61</v>
      </c>
      <c r="E69" s="39">
        <v>0</v>
      </c>
      <c r="F69" s="2"/>
      <c r="G69" s="2">
        <v>-99066</v>
      </c>
      <c r="H69" s="74">
        <f>SUM(D69+G69)/2</f>
        <v>719005.80500000005</v>
      </c>
      <c r="I69" s="74">
        <f>C69+H69</f>
        <v>3016194.4015621669</v>
      </c>
      <c r="J69" s="75">
        <v>0.3</v>
      </c>
      <c r="K69" s="2"/>
      <c r="L69" s="2"/>
      <c r="M69" s="39">
        <f t="shared" si="9"/>
        <v>681742.57021610625</v>
      </c>
      <c r="N69" s="39">
        <f t="shared" si="10"/>
        <v>3053457.6363460608</v>
      </c>
    </row>
    <row r="70" spans="1:14" x14ac:dyDescent="0.25">
      <c r="A70" s="3">
        <v>10</v>
      </c>
      <c r="B70" s="3" t="s">
        <v>89</v>
      </c>
      <c r="C70" s="54">
        <f t="shared" si="11"/>
        <v>0</v>
      </c>
      <c r="D70" s="29">
        <v>0</v>
      </c>
      <c r="E70" s="39">
        <v>0</v>
      </c>
      <c r="F70" s="2"/>
      <c r="G70" s="2"/>
      <c r="H70" s="39"/>
      <c r="I70" s="74">
        <f>C70+E70+G70</f>
        <v>0</v>
      </c>
      <c r="J70" s="75">
        <f>J69</f>
        <v>0.3</v>
      </c>
      <c r="K70" s="2"/>
      <c r="L70" s="2"/>
      <c r="M70" s="39">
        <f t="shared" si="9"/>
        <v>0</v>
      </c>
      <c r="N70" s="39">
        <f t="shared" si="10"/>
        <v>0</v>
      </c>
    </row>
    <row r="71" spans="1:14" x14ac:dyDescent="0.25">
      <c r="A71" s="56">
        <v>10.1</v>
      </c>
      <c r="B71" s="3" t="s">
        <v>88</v>
      </c>
      <c r="C71" s="54">
        <f t="shared" si="11"/>
        <v>742.92405627190692</v>
      </c>
      <c r="D71" s="29">
        <v>0</v>
      </c>
      <c r="E71" s="39">
        <v>0</v>
      </c>
      <c r="F71" s="2"/>
      <c r="G71" s="2"/>
      <c r="H71" s="39">
        <f>SUM(D71+G71)/2</f>
        <v>0</v>
      </c>
      <c r="I71" s="74">
        <f>C71+H71</f>
        <v>742.92405627190692</v>
      </c>
      <c r="J71" s="75">
        <v>0.3</v>
      </c>
      <c r="K71" s="2"/>
      <c r="L71" s="2"/>
      <c r="M71" s="39">
        <f t="shared" si="9"/>
        <v>167.92119080118445</v>
      </c>
      <c r="N71" s="39">
        <f t="shared" si="10"/>
        <v>575.00286547072244</v>
      </c>
    </row>
    <row r="72" spans="1:14" x14ac:dyDescent="0.25">
      <c r="A72" s="56">
        <v>10.1</v>
      </c>
      <c r="B72" s="3" t="s">
        <v>87</v>
      </c>
      <c r="C72" s="54">
        <f t="shared" si="11"/>
        <v>744.26932391567698</v>
      </c>
      <c r="D72" s="29">
        <v>0</v>
      </c>
      <c r="E72" s="39">
        <v>0</v>
      </c>
      <c r="F72" s="2"/>
      <c r="G72" s="2"/>
      <c r="H72" s="39">
        <f>SUM(D72+G72)/2</f>
        <v>0</v>
      </c>
      <c r="I72" s="74">
        <f>C72+H72</f>
        <v>744.26932391567698</v>
      </c>
      <c r="J72" s="75">
        <v>0.3</v>
      </c>
      <c r="K72" s="2"/>
      <c r="L72" s="2"/>
      <c r="M72" s="39">
        <f t="shared" si="9"/>
        <v>168.22525814532423</v>
      </c>
      <c r="N72" s="39">
        <f t="shared" si="10"/>
        <v>576.04406577035274</v>
      </c>
    </row>
    <row r="73" spans="1:14" x14ac:dyDescent="0.25">
      <c r="A73" s="56">
        <v>10.1</v>
      </c>
      <c r="B73" s="3" t="s">
        <v>86</v>
      </c>
      <c r="C73" s="54">
        <f t="shared" si="11"/>
        <v>1076.7746432007946</v>
      </c>
      <c r="D73" s="29">
        <v>0</v>
      </c>
      <c r="E73" s="39">
        <v>0</v>
      </c>
      <c r="F73" s="2"/>
      <c r="G73" s="2"/>
      <c r="H73" s="39">
        <f>SUM(D73+G73)/2</f>
        <v>0</v>
      </c>
      <c r="I73" s="74">
        <f>C73+H73</f>
        <v>1076.7746432007946</v>
      </c>
      <c r="J73" s="75">
        <v>0.3</v>
      </c>
      <c r="K73" s="2"/>
      <c r="L73" s="2"/>
      <c r="M73" s="39">
        <f t="shared" si="9"/>
        <v>243.38057003853578</v>
      </c>
      <c r="N73" s="39">
        <f t="shared" si="10"/>
        <v>833.39407316225879</v>
      </c>
    </row>
    <row r="74" spans="1:14" x14ac:dyDescent="0.25">
      <c r="A74" s="56">
        <v>10.1</v>
      </c>
      <c r="B74" s="3" t="s">
        <v>85</v>
      </c>
      <c r="C74" s="54">
        <f t="shared" si="11"/>
        <v>1538.1587381045315</v>
      </c>
      <c r="D74" s="29">
        <v>0</v>
      </c>
      <c r="E74" s="39">
        <v>0</v>
      </c>
      <c r="F74" s="2"/>
      <c r="G74" s="2"/>
      <c r="H74" s="39">
        <f>SUM(D74+G74)/2</f>
        <v>0</v>
      </c>
      <c r="I74" s="74">
        <f>C74+H74</f>
        <v>1538.1587381045315</v>
      </c>
      <c r="J74" s="75">
        <v>0.3</v>
      </c>
      <c r="K74" s="2"/>
      <c r="L74" s="2"/>
      <c r="M74" s="39">
        <f t="shared" si="9"/>
        <v>347.66601614691461</v>
      </c>
      <c r="N74" s="39">
        <f t="shared" si="10"/>
        <v>1190.4927219576168</v>
      </c>
    </row>
    <row r="75" spans="1:14" x14ac:dyDescent="0.25">
      <c r="A75" s="56">
        <v>12</v>
      </c>
      <c r="B75" s="57" t="s">
        <v>84</v>
      </c>
      <c r="C75" s="54">
        <f t="shared" si="11"/>
        <v>229427.96575342465</v>
      </c>
      <c r="D75" s="67">
        <f>'VRZ_CCA_w accel CCA'!E79</f>
        <v>970633.88499999885</v>
      </c>
      <c r="E75" s="29">
        <v>0</v>
      </c>
      <c r="F75" s="2"/>
      <c r="G75" s="2"/>
      <c r="H75" s="39">
        <f>SUM(D75+G75)/2</f>
        <v>485316.94249999942</v>
      </c>
      <c r="I75" s="74">
        <f>C75+H75</f>
        <v>714744.9082534241</v>
      </c>
      <c r="J75" s="75">
        <v>1</v>
      </c>
      <c r="K75" s="2"/>
      <c r="L75" s="2"/>
      <c r="M75" s="39">
        <f>I75*J75/365*275</f>
        <v>538506.43772518262</v>
      </c>
      <c r="N75" s="39">
        <f t="shared" si="10"/>
        <v>661555.4130282409</v>
      </c>
    </row>
    <row r="76" spans="1:14" x14ac:dyDescent="0.25">
      <c r="A76" s="56">
        <v>12</v>
      </c>
      <c r="B76" s="57" t="s">
        <v>83</v>
      </c>
      <c r="C76" s="39">
        <f t="shared" si="11"/>
        <v>0</v>
      </c>
      <c r="D76" s="29">
        <v>0</v>
      </c>
      <c r="E76" s="39">
        <v>0</v>
      </c>
      <c r="F76" s="2"/>
      <c r="G76" s="2"/>
      <c r="H76" s="74"/>
      <c r="I76" s="74">
        <f>C76+E76+G76</f>
        <v>0</v>
      </c>
      <c r="J76" s="75">
        <f>J75</f>
        <v>1</v>
      </c>
      <c r="K76" s="2"/>
      <c r="L76" s="2"/>
      <c r="M76" s="39">
        <f t="shared" si="9"/>
        <v>0</v>
      </c>
      <c r="N76" s="39">
        <f t="shared" si="10"/>
        <v>0</v>
      </c>
    </row>
    <row r="77" spans="1:14" x14ac:dyDescent="0.25">
      <c r="A77" s="56">
        <v>13</v>
      </c>
      <c r="B77" s="57" t="s">
        <v>82</v>
      </c>
      <c r="C77" s="54">
        <f t="shared" si="11"/>
        <v>188134.12887666657</v>
      </c>
      <c r="D77" s="29">
        <v>0</v>
      </c>
      <c r="E77" s="39"/>
      <c r="F77" s="2"/>
      <c r="G77" s="2"/>
      <c r="H77" s="74">
        <v>0</v>
      </c>
      <c r="I77" s="74">
        <f>C77+D77</f>
        <v>188134.12887666657</v>
      </c>
      <c r="J77" s="75">
        <v>0</v>
      </c>
      <c r="K77" s="2"/>
      <c r="L77" s="77"/>
      <c r="M77" s="74">
        <f>I77/30*9</f>
        <v>56440.238662999967</v>
      </c>
      <c r="N77" s="39">
        <f t="shared" si="10"/>
        <v>131693.8902136666</v>
      </c>
    </row>
    <row r="78" spans="1:14" x14ac:dyDescent="0.25">
      <c r="A78" s="56">
        <v>42</v>
      </c>
      <c r="B78" s="56" t="s">
        <v>81</v>
      </c>
      <c r="C78" s="54">
        <f t="shared" si="11"/>
        <v>2106.1884291032147</v>
      </c>
      <c r="D78" s="29">
        <v>0</v>
      </c>
      <c r="E78" s="39">
        <v>0</v>
      </c>
      <c r="F78" s="2"/>
      <c r="G78" s="2"/>
      <c r="H78" s="74">
        <f>SUM(D78+G78)/2</f>
        <v>0</v>
      </c>
      <c r="I78" s="76">
        <f>C78+H78</f>
        <v>2106.1884291032147</v>
      </c>
      <c r="J78" s="75">
        <v>0.12</v>
      </c>
      <c r="K78" s="2"/>
      <c r="L78" s="2"/>
      <c r="M78" s="39">
        <f t="shared" ref="M78:M87" si="12">I78*J78/365*275</f>
        <v>190.42251550796186</v>
      </c>
      <c r="N78" s="39">
        <f t="shared" si="10"/>
        <v>1915.7659135952529</v>
      </c>
    </row>
    <row r="79" spans="1:14" x14ac:dyDescent="0.25">
      <c r="A79" s="3">
        <v>45</v>
      </c>
      <c r="B79" s="3" t="s">
        <v>80</v>
      </c>
      <c r="C79" s="54">
        <f t="shared" si="11"/>
        <v>522.53452603636526</v>
      </c>
      <c r="D79" s="78">
        <v>0</v>
      </c>
      <c r="E79" s="39">
        <v>0</v>
      </c>
      <c r="F79" s="2"/>
      <c r="G79" s="2"/>
      <c r="H79" s="74">
        <f>SUM(D79+G79)/2</f>
        <v>0</v>
      </c>
      <c r="I79" s="2">
        <f>C79+H79</f>
        <v>522.53452603636526</v>
      </c>
      <c r="J79" s="75">
        <v>0.45</v>
      </c>
      <c r="K79" s="2"/>
      <c r="L79" s="2"/>
      <c r="M79" s="76">
        <f t="shared" si="12"/>
        <v>177.16067834794575</v>
      </c>
      <c r="N79" s="39">
        <f t="shared" si="10"/>
        <v>345.37384768841952</v>
      </c>
    </row>
    <row r="80" spans="1:14" ht="15.75" x14ac:dyDescent="0.25">
      <c r="A80" s="56">
        <v>47</v>
      </c>
      <c r="B80" s="56" t="s">
        <v>79</v>
      </c>
      <c r="C80" s="54">
        <f t="shared" si="11"/>
        <v>120300887.62219425</v>
      </c>
      <c r="D80" s="67">
        <f>'VRZ_CCA_w accel CCA'!E84</f>
        <v>19012240.887526527</v>
      </c>
      <c r="E80" s="29">
        <v>0</v>
      </c>
      <c r="F80" s="2">
        <v>0</v>
      </c>
      <c r="G80" s="67">
        <v>-115340</v>
      </c>
      <c r="H80" s="74">
        <f>SUM(D80+G80)/2</f>
        <v>9448450.4437632635</v>
      </c>
      <c r="I80" s="74">
        <f>C80+H80</f>
        <v>129749338.06595752</v>
      </c>
      <c r="J80" s="75">
        <v>0.08</v>
      </c>
      <c r="K80" s="2"/>
      <c r="L80" s="2"/>
      <c r="M80" s="39">
        <f t="shared" si="12"/>
        <v>7820508.0478111375</v>
      </c>
      <c r="N80" s="39">
        <f t="shared" si="10"/>
        <v>131377280.46190964</v>
      </c>
    </row>
    <row r="81" spans="1:14" x14ac:dyDescent="0.25">
      <c r="A81" s="56">
        <v>47</v>
      </c>
      <c r="B81" s="56" t="s">
        <v>78</v>
      </c>
      <c r="C81" s="54">
        <f t="shared" si="11"/>
        <v>0</v>
      </c>
      <c r="D81" s="29">
        <v>0</v>
      </c>
      <c r="E81" s="39">
        <v>0</v>
      </c>
      <c r="F81" s="2"/>
      <c r="G81" s="2">
        <v>0</v>
      </c>
      <c r="H81" s="74">
        <v>0</v>
      </c>
      <c r="I81" s="2">
        <f>C81+E81+G81</f>
        <v>0</v>
      </c>
      <c r="J81" s="75">
        <f>J80</f>
        <v>0.08</v>
      </c>
      <c r="K81" s="2"/>
      <c r="L81" s="2"/>
      <c r="M81" s="76">
        <f t="shared" si="12"/>
        <v>0</v>
      </c>
      <c r="N81" s="39">
        <f t="shared" si="10"/>
        <v>0</v>
      </c>
    </row>
    <row r="82" spans="1:14" x14ac:dyDescent="0.25">
      <c r="A82" s="3">
        <v>50</v>
      </c>
      <c r="B82" s="3" t="s">
        <v>77</v>
      </c>
      <c r="C82" s="54">
        <f t="shared" si="11"/>
        <v>518617.46837979794</v>
      </c>
      <c r="D82" s="29">
        <f>'VRZ_CCA_w accel CCA'!E86</f>
        <v>575539.73</v>
      </c>
      <c r="E82" s="39">
        <v>0</v>
      </c>
      <c r="F82" s="2">
        <v>0</v>
      </c>
      <c r="G82" s="2"/>
      <c r="H82" s="74">
        <f>SUM(D82+G82)/2</f>
        <v>287769.86499999999</v>
      </c>
      <c r="I82" s="74">
        <f>C82+H82+F82</f>
        <v>806387.33337979787</v>
      </c>
      <c r="J82" s="75">
        <v>0.55000000000000004</v>
      </c>
      <c r="K82" s="2"/>
      <c r="L82" s="2"/>
      <c r="M82" s="39">
        <f t="shared" si="12"/>
        <v>334153.65527039574</v>
      </c>
      <c r="N82" s="39">
        <f t="shared" si="10"/>
        <v>760003.54310940206</v>
      </c>
    </row>
    <row r="83" spans="1:14" x14ac:dyDescent="0.25">
      <c r="A83" s="58">
        <v>50</v>
      </c>
      <c r="B83" s="3" t="s">
        <v>76</v>
      </c>
      <c r="C83" s="54">
        <f t="shared" si="11"/>
        <v>0</v>
      </c>
      <c r="D83" s="29">
        <v>0</v>
      </c>
      <c r="E83" s="39">
        <v>0</v>
      </c>
      <c r="F83" s="5"/>
      <c r="G83" s="5">
        <v>0</v>
      </c>
      <c r="H83" s="39"/>
      <c r="I83" s="2">
        <f>C83+E83+G83</f>
        <v>0</v>
      </c>
      <c r="J83" s="75">
        <f>J82</f>
        <v>0.55000000000000004</v>
      </c>
      <c r="K83" s="5"/>
      <c r="L83" s="5"/>
      <c r="M83" s="76">
        <f t="shared" si="12"/>
        <v>0</v>
      </c>
      <c r="N83" s="39">
        <f t="shared" si="10"/>
        <v>0</v>
      </c>
    </row>
    <row r="84" spans="1:14" x14ac:dyDescent="0.25">
      <c r="A84" s="59">
        <v>43.2</v>
      </c>
      <c r="B84" s="79" t="s">
        <v>75</v>
      </c>
      <c r="C84" s="54">
        <f t="shared" si="11"/>
        <v>17881.930025791578</v>
      </c>
      <c r="D84" s="29">
        <v>0</v>
      </c>
      <c r="E84" s="39">
        <v>0</v>
      </c>
      <c r="F84" s="5"/>
      <c r="G84" s="5"/>
      <c r="H84" s="39">
        <f>SUM(D84+G84)/2</f>
        <v>0</v>
      </c>
      <c r="I84" s="74">
        <f>C84+H84</f>
        <v>17881.930025791578</v>
      </c>
      <c r="J84" s="75">
        <v>0.5</v>
      </c>
      <c r="K84" s="5"/>
      <c r="L84" s="5"/>
      <c r="M84" s="39">
        <f t="shared" si="12"/>
        <v>6736.34350286669</v>
      </c>
      <c r="N84" s="39">
        <f t="shared" si="10"/>
        <v>11145.586522924888</v>
      </c>
    </row>
    <row r="85" spans="1:14" x14ac:dyDescent="0.25">
      <c r="A85" s="59">
        <v>14.1</v>
      </c>
      <c r="B85" s="79" t="s">
        <v>74</v>
      </c>
      <c r="C85" s="54">
        <f t="shared" si="11"/>
        <v>3788541.815054548</v>
      </c>
      <c r="D85" s="67">
        <v>0</v>
      </c>
      <c r="E85" s="39">
        <v>0</v>
      </c>
      <c r="F85" s="5"/>
      <c r="G85" s="5"/>
      <c r="H85" s="39"/>
      <c r="I85" s="74">
        <f>C85</f>
        <v>3788541.815054548</v>
      </c>
      <c r="J85" s="75">
        <v>7.0000000000000007E-2</v>
      </c>
      <c r="K85" s="5"/>
      <c r="L85" s="5"/>
      <c r="M85" s="39">
        <f t="shared" si="12"/>
        <v>199806.65736931522</v>
      </c>
      <c r="N85" s="39">
        <f t="shared" si="10"/>
        <v>3588735.1576852328</v>
      </c>
    </row>
    <row r="86" spans="1:14" x14ac:dyDescent="0.25">
      <c r="A86" s="59">
        <v>14.1</v>
      </c>
      <c r="B86" s="80" t="s">
        <v>73</v>
      </c>
      <c r="C86" s="54">
        <f t="shared" si="11"/>
        <v>1343507.8803647258</v>
      </c>
      <c r="D86" s="29">
        <f>'VRZ_CCA_w accel CCA'!E90</f>
        <v>5245.3500000000931</v>
      </c>
      <c r="E86" s="39">
        <v>0</v>
      </c>
      <c r="F86" s="5"/>
      <c r="G86" s="5"/>
      <c r="H86" s="39">
        <f>SUM(D86+G86)/2</f>
        <v>2622.6750000000466</v>
      </c>
      <c r="I86" s="74">
        <f>C86+H86</f>
        <v>1346130.5553647259</v>
      </c>
      <c r="J86" s="75">
        <v>0.05</v>
      </c>
      <c r="K86" s="5"/>
      <c r="L86" s="5"/>
      <c r="M86" s="39">
        <f t="shared" si="12"/>
        <v>50710.39763360269</v>
      </c>
      <c r="N86" s="39">
        <f t="shared" si="10"/>
        <v>1298042.8327311233</v>
      </c>
    </row>
    <row r="87" spans="1:14" ht="15.75" x14ac:dyDescent="0.25">
      <c r="A87" s="60">
        <v>95</v>
      </c>
      <c r="B87" s="60" t="s">
        <v>10</v>
      </c>
      <c r="C87" s="54">
        <f>N58</f>
        <v>20946055</v>
      </c>
      <c r="D87" s="29">
        <v>0</v>
      </c>
      <c r="E87" s="39">
        <v>0</v>
      </c>
      <c r="F87" s="2">
        <v>0</v>
      </c>
      <c r="G87" s="81"/>
      <c r="H87" s="39">
        <v>0</v>
      </c>
      <c r="I87" s="39">
        <f>C87+D87+E87+F87</f>
        <v>20946055</v>
      </c>
      <c r="J87" s="75">
        <v>0</v>
      </c>
      <c r="K87" s="2"/>
      <c r="L87" s="2"/>
      <c r="M87" s="39">
        <f t="shared" si="12"/>
        <v>0</v>
      </c>
      <c r="N87" s="39">
        <f t="shared" si="10"/>
        <v>20946055</v>
      </c>
    </row>
    <row r="88" spans="1:14" ht="15.75" thickBot="1" x14ac:dyDescent="0.3">
      <c r="A88" s="61" t="s">
        <v>11</v>
      </c>
      <c r="B88" s="62"/>
      <c r="C88" s="63">
        <f t="shared" ref="C88:I88" si="13">SUM(C64:C87)</f>
        <v>242440047.610612</v>
      </c>
      <c r="D88" s="64">
        <f t="shared" si="13"/>
        <v>23479078.582526527</v>
      </c>
      <c r="E88" s="64">
        <f t="shared" si="13"/>
        <v>0</v>
      </c>
      <c r="F88" s="23">
        <f t="shared" si="13"/>
        <v>0</v>
      </c>
      <c r="G88" s="23">
        <f t="shared" si="13"/>
        <v>-214406</v>
      </c>
      <c r="H88" s="63">
        <f t="shared" si="13"/>
        <v>11632336.291263264</v>
      </c>
      <c r="I88" s="63">
        <f t="shared" si="13"/>
        <v>254072383.90187529</v>
      </c>
      <c r="J88" s="63" t="s">
        <v>0</v>
      </c>
      <c r="K88" s="63">
        <f>SUM(K64:K87)</f>
        <v>0</v>
      </c>
      <c r="L88" s="63">
        <f>SUM(L64:L87)</f>
        <v>0</v>
      </c>
      <c r="M88" s="63">
        <f>SUM(M64:M87)</f>
        <v>13208547.034659378</v>
      </c>
      <c r="N88" s="63">
        <f>SUM(N64:N87)</f>
        <v>252496173.15847915</v>
      </c>
    </row>
    <row r="89" spans="1:14" ht="15.75" thickTop="1" x14ac:dyDescent="0.25"/>
    <row r="90" spans="1:14" x14ac:dyDescent="0.25">
      <c r="A90" s="68">
        <v>2020</v>
      </c>
      <c r="B90" s="68" t="s">
        <v>65</v>
      </c>
    </row>
    <row r="91" spans="1:14" ht="30" x14ac:dyDescent="0.25">
      <c r="A91" s="53" t="s">
        <v>2</v>
      </c>
      <c r="B91" s="53" t="s">
        <v>3</v>
      </c>
      <c r="C91" s="53" t="s">
        <v>101</v>
      </c>
      <c r="D91" s="69" t="s">
        <v>103</v>
      </c>
      <c r="E91" s="69" t="s">
        <v>69</v>
      </c>
      <c r="F91" s="69" t="s">
        <v>4</v>
      </c>
      <c r="G91" s="69" t="s">
        <v>12</v>
      </c>
      <c r="H91" s="69" t="s">
        <v>5</v>
      </c>
      <c r="I91" s="69" t="s">
        <v>6</v>
      </c>
      <c r="J91" s="69" t="s">
        <v>57</v>
      </c>
      <c r="K91" s="69" t="s">
        <v>58</v>
      </c>
      <c r="L91" s="69" t="s">
        <v>7</v>
      </c>
      <c r="M91" s="69" t="s">
        <v>1</v>
      </c>
      <c r="N91" s="69" t="s">
        <v>8</v>
      </c>
    </row>
    <row r="92" spans="1:14" x14ac:dyDescent="0.25">
      <c r="A92" s="53"/>
      <c r="B92" s="53"/>
      <c r="C92" s="70"/>
      <c r="D92" s="28"/>
      <c r="E92" s="39"/>
      <c r="F92" s="1"/>
      <c r="G92" s="1"/>
      <c r="H92" s="1"/>
      <c r="I92" s="71"/>
      <c r="J92" s="72"/>
      <c r="K92" s="1"/>
      <c r="L92" s="1"/>
      <c r="M92" s="73"/>
      <c r="N92" s="73"/>
    </row>
    <row r="93" spans="1:14" x14ac:dyDescent="0.25">
      <c r="A93" s="3">
        <v>1</v>
      </c>
      <c r="B93" s="3" t="s">
        <v>94</v>
      </c>
      <c r="C93" s="54">
        <f t="shared" ref="C93:C115" si="14">N64</f>
        <v>76772432.078125313</v>
      </c>
      <c r="D93" s="29">
        <v>0</v>
      </c>
      <c r="E93" s="39"/>
      <c r="F93" s="2"/>
      <c r="G93" s="2"/>
      <c r="H93" s="39">
        <f>SUM(D93+G93)/2</f>
        <v>0</v>
      </c>
      <c r="I93" s="74">
        <f>C93+H93</f>
        <v>76772432.078125313</v>
      </c>
      <c r="J93" s="75">
        <v>0.04</v>
      </c>
      <c r="K93" s="2"/>
      <c r="L93" s="2"/>
      <c r="M93" s="39">
        <f>I93*J93</f>
        <v>3070897.2831250126</v>
      </c>
      <c r="N93" s="39">
        <f t="shared" ref="N93:N116" si="15">H93+I93-M93</f>
        <v>73701534.7950003</v>
      </c>
    </row>
    <row r="94" spans="1:14" x14ac:dyDescent="0.25">
      <c r="A94" s="55" t="s">
        <v>92</v>
      </c>
      <c r="B94" s="3" t="s">
        <v>93</v>
      </c>
      <c r="C94" s="54">
        <f t="shared" si="14"/>
        <v>9564417.6325113773</v>
      </c>
      <c r="D94" s="29">
        <f>'VRZ_CCA_w accel CCA'!E100</f>
        <v>668904.33000000007</v>
      </c>
      <c r="E94" s="39">
        <v>0</v>
      </c>
      <c r="F94" s="2" t="s">
        <v>0</v>
      </c>
      <c r="G94" s="2"/>
      <c r="H94" s="74">
        <f>SUM(D94+G94)/2</f>
        <v>334452.16500000004</v>
      </c>
      <c r="I94" s="2">
        <f>C94+H94</f>
        <v>9898869.7975113764</v>
      </c>
      <c r="J94" s="75">
        <v>0.06</v>
      </c>
      <c r="K94" s="2"/>
      <c r="L94" s="2"/>
      <c r="M94" s="39">
        <f t="shared" ref="M94:M105" si="16">I94*J94</f>
        <v>593932.18785068253</v>
      </c>
      <c r="N94" s="39">
        <f t="shared" si="15"/>
        <v>9639389.7746606935</v>
      </c>
    </row>
    <row r="95" spans="1:14" x14ac:dyDescent="0.25">
      <c r="A95" s="55" t="s">
        <v>92</v>
      </c>
      <c r="B95" s="3" t="s">
        <v>91</v>
      </c>
      <c r="C95" s="54">
        <f t="shared" si="14"/>
        <v>0</v>
      </c>
      <c r="D95" s="29">
        <v>0</v>
      </c>
      <c r="E95" s="39">
        <v>0</v>
      </c>
      <c r="F95" s="2"/>
      <c r="G95" s="2"/>
      <c r="H95" s="74">
        <f>SUM(D95+G95)/2</f>
        <v>0</v>
      </c>
      <c r="I95" s="74">
        <f>C95+E95+G95</f>
        <v>0</v>
      </c>
      <c r="J95" s="75">
        <f>J94</f>
        <v>0.06</v>
      </c>
      <c r="K95" s="2"/>
      <c r="L95" s="2"/>
      <c r="M95" s="39">
        <f t="shared" si="16"/>
        <v>0</v>
      </c>
      <c r="N95" s="39">
        <f t="shared" si="15"/>
        <v>0</v>
      </c>
    </row>
    <row r="96" spans="1:14" x14ac:dyDescent="0.25">
      <c r="A96" s="56">
        <v>8</v>
      </c>
      <c r="B96" s="56" t="s">
        <v>90</v>
      </c>
      <c r="C96" s="54">
        <f t="shared" si="14"/>
        <v>4325917.8528085453</v>
      </c>
      <c r="D96" s="67">
        <f>'VRZ_CCA_w accel CCA'!E102</f>
        <v>696010.71999999986</v>
      </c>
      <c r="E96" s="29">
        <v>0</v>
      </c>
      <c r="F96" s="2"/>
      <c r="G96" s="2"/>
      <c r="H96" s="74">
        <f>SUM(D96+G96)/2</f>
        <v>348005.35999999993</v>
      </c>
      <c r="I96" s="2">
        <f>C96+H96</f>
        <v>4673923.2128085457</v>
      </c>
      <c r="J96" s="75">
        <v>0.2</v>
      </c>
      <c r="K96" s="2"/>
      <c r="L96" s="2"/>
      <c r="M96" s="39">
        <f t="shared" si="16"/>
        <v>934784.64256170916</v>
      </c>
      <c r="N96" s="39">
        <f t="shared" si="15"/>
        <v>4087143.930246837</v>
      </c>
    </row>
    <row r="97" spans="1:14" x14ac:dyDescent="0.25">
      <c r="A97" s="56">
        <v>8</v>
      </c>
      <c r="B97" s="56" t="s">
        <v>62</v>
      </c>
      <c r="C97" s="54">
        <f t="shared" si="14"/>
        <v>0</v>
      </c>
      <c r="D97" s="29">
        <v>0</v>
      </c>
      <c r="E97" s="39">
        <v>0</v>
      </c>
      <c r="F97" s="2"/>
      <c r="G97" s="2"/>
      <c r="H97" s="39"/>
      <c r="I97" s="74">
        <f>C97+E97+G97</f>
        <v>0</v>
      </c>
      <c r="J97" s="75">
        <f>J96</f>
        <v>0.2</v>
      </c>
      <c r="K97" s="2"/>
      <c r="L97" s="2"/>
      <c r="M97" s="39">
        <f t="shared" si="16"/>
        <v>0</v>
      </c>
      <c r="N97" s="39">
        <f t="shared" si="15"/>
        <v>0</v>
      </c>
    </row>
    <row r="98" spans="1:14" x14ac:dyDescent="0.25">
      <c r="A98" s="3">
        <v>10</v>
      </c>
      <c r="B98" s="3" t="s">
        <v>9</v>
      </c>
      <c r="C98" s="54">
        <f t="shared" si="14"/>
        <v>3053457.6363460608</v>
      </c>
      <c r="D98" s="29">
        <f>'VRZ_CCA_w accel CCA'!E104</f>
        <v>784692.74000000022</v>
      </c>
      <c r="E98" s="39">
        <v>0</v>
      </c>
      <c r="F98" s="2"/>
      <c r="G98" s="2">
        <v>-23167.88</v>
      </c>
      <c r="H98" s="74">
        <f>SUM(D98+G98)/2</f>
        <v>380762.43000000011</v>
      </c>
      <c r="I98" s="74">
        <f>C98+H98</f>
        <v>3434220.066346061</v>
      </c>
      <c r="J98" s="75">
        <v>0.3</v>
      </c>
      <c r="K98" s="2"/>
      <c r="L98" s="2"/>
      <c r="M98" s="39">
        <f t="shared" si="16"/>
        <v>1030266.0199038183</v>
      </c>
      <c r="N98" s="39">
        <f t="shared" si="15"/>
        <v>2784716.476442243</v>
      </c>
    </row>
    <row r="99" spans="1:14" x14ac:dyDescent="0.25">
      <c r="A99" s="3">
        <v>10</v>
      </c>
      <c r="B99" s="3" t="s">
        <v>89</v>
      </c>
      <c r="C99" s="54">
        <f t="shared" si="14"/>
        <v>0</v>
      </c>
      <c r="D99" s="29">
        <v>0</v>
      </c>
      <c r="E99" s="39">
        <v>0</v>
      </c>
      <c r="F99" s="2"/>
      <c r="G99" s="2"/>
      <c r="H99" s="39"/>
      <c r="I99" s="74">
        <f>C99+E99+G99</f>
        <v>0</v>
      </c>
      <c r="J99" s="75">
        <f>J98</f>
        <v>0.3</v>
      </c>
      <c r="K99" s="2"/>
      <c r="L99" s="2"/>
      <c r="M99" s="39">
        <f t="shared" si="16"/>
        <v>0</v>
      </c>
      <c r="N99" s="39">
        <f t="shared" si="15"/>
        <v>0</v>
      </c>
    </row>
    <row r="100" spans="1:14" x14ac:dyDescent="0.25">
      <c r="A100" s="56">
        <v>10.1</v>
      </c>
      <c r="B100" s="3" t="s">
        <v>88</v>
      </c>
      <c r="C100" s="54">
        <f t="shared" si="14"/>
        <v>575.00286547072244</v>
      </c>
      <c r="D100" s="29">
        <v>0</v>
      </c>
      <c r="E100" s="39">
        <v>0</v>
      </c>
      <c r="F100" s="2"/>
      <c r="G100" s="2"/>
      <c r="H100" s="39">
        <f>SUM(D100+G100)/2</f>
        <v>0</v>
      </c>
      <c r="I100" s="74">
        <f>C100+H100</f>
        <v>575.00286547072244</v>
      </c>
      <c r="J100" s="75">
        <v>0.3</v>
      </c>
      <c r="K100" s="2"/>
      <c r="L100" s="2"/>
      <c r="M100" s="39">
        <f t="shared" si="16"/>
        <v>172.50085964121672</v>
      </c>
      <c r="N100" s="39">
        <f t="shared" si="15"/>
        <v>402.50200582950572</v>
      </c>
    </row>
    <row r="101" spans="1:14" x14ac:dyDescent="0.25">
      <c r="A101" s="56">
        <v>10.1</v>
      </c>
      <c r="B101" s="3" t="s">
        <v>87</v>
      </c>
      <c r="C101" s="54">
        <f t="shared" si="14"/>
        <v>576.04406577035274</v>
      </c>
      <c r="D101" s="29">
        <v>0</v>
      </c>
      <c r="E101" s="39">
        <v>0</v>
      </c>
      <c r="F101" s="2"/>
      <c r="G101" s="2"/>
      <c r="H101" s="39">
        <f>SUM(D101+G101)/2</f>
        <v>0</v>
      </c>
      <c r="I101" s="74">
        <f>C101+H101</f>
        <v>576.04406577035274</v>
      </c>
      <c r="J101" s="75">
        <v>0.3</v>
      </c>
      <c r="K101" s="2"/>
      <c r="L101" s="2"/>
      <c r="M101" s="39">
        <f t="shared" si="16"/>
        <v>172.81321973110582</v>
      </c>
      <c r="N101" s="39">
        <f t="shared" si="15"/>
        <v>403.2308460392469</v>
      </c>
    </row>
    <row r="102" spans="1:14" x14ac:dyDescent="0.25">
      <c r="A102" s="56">
        <v>10.1</v>
      </c>
      <c r="B102" s="3" t="s">
        <v>86</v>
      </c>
      <c r="C102" s="54">
        <f t="shared" si="14"/>
        <v>833.39407316225879</v>
      </c>
      <c r="D102" s="29">
        <v>0</v>
      </c>
      <c r="E102" s="39">
        <v>0</v>
      </c>
      <c r="F102" s="2"/>
      <c r="G102" s="2"/>
      <c r="H102" s="39">
        <f>SUM(D102+G102)/2</f>
        <v>0</v>
      </c>
      <c r="I102" s="74">
        <f>C102+H102</f>
        <v>833.39407316225879</v>
      </c>
      <c r="J102" s="75">
        <v>0.3</v>
      </c>
      <c r="K102" s="2"/>
      <c r="L102" s="2"/>
      <c r="M102" s="39">
        <f t="shared" si="16"/>
        <v>250.01822194867762</v>
      </c>
      <c r="N102" s="39">
        <f t="shared" si="15"/>
        <v>583.3758512135812</v>
      </c>
    </row>
    <row r="103" spans="1:14" x14ac:dyDescent="0.25">
      <c r="A103" s="56">
        <v>10.1</v>
      </c>
      <c r="B103" s="3" t="s">
        <v>85</v>
      </c>
      <c r="C103" s="54">
        <f t="shared" si="14"/>
        <v>1190.4927219576168</v>
      </c>
      <c r="D103" s="29">
        <v>0</v>
      </c>
      <c r="E103" s="39">
        <v>0</v>
      </c>
      <c r="F103" s="2"/>
      <c r="G103" s="2"/>
      <c r="H103" s="39">
        <f>SUM(D103+G103)/2</f>
        <v>0</v>
      </c>
      <c r="I103" s="74">
        <f>C103+H103</f>
        <v>1190.4927219576168</v>
      </c>
      <c r="J103" s="75">
        <v>0.3</v>
      </c>
      <c r="K103" s="2"/>
      <c r="L103" s="2"/>
      <c r="M103" s="39">
        <f t="shared" si="16"/>
        <v>357.14781658728504</v>
      </c>
      <c r="N103" s="39">
        <f t="shared" si="15"/>
        <v>833.34490537033184</v>
      </c>
    </row>
    <row r="104" spans="1:14" x14ac:dyDescent="0.25">
      <c r="A104" s="56">
        <v>12</v>
      </c>
      <c r="B104" s="57" t="s">
        <v>84</v>
      </c>
      <c r="C104" s="54">
        <f t="shared" si="14"/>
        <v>661555.4130282409</v>
      </c>
      <c r="D104" s="67">
        <f>'VRZ_CCA_w accel CCA'!E110</f>
        <v>2132936.0599999991</v>
      </c>
      <c r="E104" s="29">
        <v>0</v>
      </c>
      <c r="F104" s="2"/>
      <c r="G104" s="2"/>
      <c r="H104" s="39">
        <f>SUM(D104+G104)/2</f>
        <v>1066468.0299999996</v>
      </c>
      <c r="I104" s="74">
        <f>C104+H104</f>
        <v>1728023.4430282405</v>
      </c>
      <c r="J104" s="75">
        <v>1</v>
      </c>
      <c r="K104" s="2"/>
      <c r="L104" s="2"/>
      <c r="M104" s="39">
        <f t="shared" si="16"/>
        <v>1728023.4430282405</v>
      </c>
      <c r="N104" s="39">
        <f t="shared" si="15"/>
        <v>1066468.0299999993</v>
      </c>
    </row>
    <row r="105" spans="1:14" x14ac:dyDescent="0.25">
      <c r="A105" s="56">
        <v>12</v>
      </c>
      <c r="B105" s="57" t="s">
        <v>83</v>
      </c>
      <c r="C105" s="39">
        <f t="shared" si="14"/>
        <v>0</v>
      </c>
      <c r="D105" s="29">
        <v>0</v>
      </c>
      <c r="E105" s="39">
        <v>0</v>
      </c>
      <c r="F105" s="2"/>
      <c r="G105" s="2"/>
      <c r="H105" s="74"/>
      <c r="I105" s="74">
        <f>C105+E105+G105</f>
        <v>0</v>
      </c>
      <c r="J105" s="75">
        <f>J104</f>
        <v>1</v>
      </c>
      <c r="K105" s="2"/>
      <c r="L105" s="2"/>
      <c r="M105" s="39">
        <f t="shared" si="16"/>
        <v>0</v>
      </c>
      <c r="N105" s="39">
        <f t="shared" si="15"/>
        <v>0</v>
      </c>
    </row>
    <row r="106" spans="1:14" x14ac:dyDescent="0.25">
      <c r="A106" s="56">
        <v>13</v>
      </c>
      <c r="B106" s="57" t="s">
        <v>82</v>
      </c>
      <c r="C106" s="54">
        <f t="shared" si="14"/>
        <v>131693.8902136666</v>
      </c>
      <c r="D106" s="29">
        <v>0</v>
      </c>
      <c r="E106" s="39"/>
      <c r="F106" s="2"/>
      <c r="G106" s="2"/>
      <c r="H106" s="74">
        <v>0</v>
      </c>
      <c r="I106" s="74">
        <f>C106+D106</f>
        <v>131693.8902136666</v>
      </c>
      <c r="J106" s="75">
        <v>0</v>
      </c>
      <c r="K106" s="2"/>
      <c r="L106" s="77"/>
      <c r="M106" s="74">
        <f>I106/30*9</f>
        <v>39508.16706409998</v>
      </c>
      <c r="N106" s="39">
        <f t="shared" si="15"/>
        <v>92185.72314956662</v>
      </c>
    </row>
    <row r="107" spans="1:14" x14ac:dyDescent="0.25">
      <c r="A107" s="56">
        <v>42</v>
      </c>
      <c r="B107" s="56" t="s">
        <v>81</v>
      </c>
      <c r="C107" s="54">
        <f t="shared" si="14"/>
        <v>1915.7659135952529</v>
      </c>
      <c r="D107" s="29">
        <v>0</v>
      </c>
      <c r="E107" s="39">
        <v>0</v>
      </c>
      <c r="F107" s="2"/>
      <c r="G107" s="2"/>
      <c r="H107" s="74">
        <f>SUM(D107+G107)/2</f>
        <v>0</v>
      </c>
      <c r="I107" s="76">
        <f>C107+H107</f>
        <v>1915.7659135952529</v>
      </c>
      <c r="J107" s="75">
        <v>0.12</v>
      </c>
      <c r="K107" s="2"/>
      <c r="L107" s="2"/>
      <c r="M107" s="39">
        <f>I107*J107</f>
        <v>229.89190963143034</v>
      </c>
      <c r="N107" s="39">
        <f t="shared" si="15"/>
        <v>1685.8740039638226</v>
      </c>
    </row>
    <row r="108" spans="1:14" x14ac:dyDescent="0.25">
      <c r="A108" s="3">
        <v>45</v>
      </c>
      <c r="B108" s="3" t="s">
        <v>80</v>
      </c>
      <c r="C108" s="54">
        <f t="shared" si="14"/>
        <v>345.37384768841952</v>
      </c>
      <c r="D108" s="78">
        <v>0</v>
      </c>
      <c r="E108" s="39">
        <v>0</v>
      </c>
      <c r="F108" s="2"/>
      <c r="G108" s="2"/>
      <c r="H108" s="74">
        <f>SUM(D108+G108)/2</f>
        <v>0</v>
      </c>
      <c r="I108" s="2">
        <f>C108+H108</f>
        <v>345.37384768841952</v>
      </c>
      <c r="J108" s="75">
        <v>0.45</v>
      </c>
      <c r="K108" s="2"/>
      <c r="L108" s="2"/>
      <c r="M108" s="39">
        <f t="shared" ref="M108:M116" si="17">I108*J108</f>
        <v>155.41823145978879</v>
      </c>
      <c r="N108" s="39">
        <f t="shared" si="15"/>
        <v>189.95561622863073</v>
      </c>
    </row>
    <row r="109" spans="1:14" ht="15.75" x14ac:dyDescent="0.25">
      <c r="A109" s="56">
        <v>47</v>
      </c>
      <c r="B109" s="56" t="s">
        <v>79</v>
      </c>
      <c r="C109" s="54">
        <f t="shared" si="14"/>
        <v>131377280.46190964</v>
      </c>
      <c r="D109" s="67">
        <f>'VRZ_CCA_w accel CCA'!E115</f>
        <v>13376741.014306854</v>
      </c>
      <c r="E109" s="29">
        <v>0</v>
      </c>
      <c r="F109" s="2">
        <v>0</v>
      </c>
      <c r="G109" s="67">
        <v>-107472</v>
      </c>
      <c r="H109" s="74">
        <f>SUM(D109+G109)/2</f>
        <v>6634634.5071534272</v>
      </c>
      <c r="I109" s="2">
        <f>C109+H109</f>
        <v>138011914.96906307</v>
      </c>
      <c r="J109" s="75">
        <v>0.08</v>
      </c>
      <c r="K109" s="2"/>
      <c r="L109" s="2"/>
      <c r="M109" s="39">
        <f t="shared" si="17"/>
        <v>11040953.197525047</v>
      </c>
      <c r="N109" s="39">
        <f t="shared" si="15"/>
        <v>133605596.27869144</v>
      </c>
    </row>
    <row r="110" spans="1:14" x14ac:dyDescent="0.25">
      <c r="A110" s="56">
        <v>47</v>
      </c>
      <c r="B110" s="56" t="s">
        <v>78</v>
      </c>
      <c r="C110" s="54">
        <f t="shared" si="14"/>
        <v>0</v>
      </c>
      <c r="D110" s="29">
        <v>0</v>
      </c>
      <c r="E110" s="39">
        <v>0</v>
      </c>
      <c r="F110" s="2"/>
      <c r="G110" s="2">
        <v>0</v>
      </c>
      <c r="H110" s="74">
        <v>0</v>
      </c>
      <c r="I110" s="2">
        <f>C110+E110+G110</f>
        <v>0</v>
      </c>
      <c r="J110" s="75">
        <f>J109</f>
        <v>0.08</v>
      </c>
      <c r="K110" s="2"/>
      <c r="L110" s="2"/>
      <c r="M110" s="39">
        <f t="shared" si="17"/>
        <v>0</v>
      </c>
      <c r="N110" s="39">
        <f t="shared" si="15"/>
        <v>0</v>
      </c>
    </row>
    <row r="111" spans="1:14" x14ac:dyDescent="0.25">
      <c r="A111" s="3">
        <v>50</v>
      </c>
      <c r="B111" s="3" t="s">
        <v>77</v>
      </c>
      <c r="C111" s="54">
        <f t="shared" si="14"/>
        <v>760003.54310940206</v>
      </c>
      <c r="D111" s="29">
        <f>'VRZ_CCA_w accel CCA'!E117</f>
        <v>1555525</v>
      </c>
      <c r="E111" s="39">
        <v>0</v>
      </c>
      <c r="F111" s="2">
        <v>0</v>
      </c>
      <c r="G111" s="2"/>
      <c r="H111" s="74">
        <f>SUM(D111+G111)/2</f>
        <v>777762.5</v>
      </c>
      <c r="I111" s="74">
        <f>C111+H111+F111</f>
        <v>1537766.0431094021</v>
      </c>
      <c r="J111" s="75">
        <v>0.55000000000000004</v>
      </c>
      <c r="K111" s="2"/>
      <c r="L111" s="2"/>
      <c r="M111" s="39">
        <f t="shared" si="17"/>
        <v>845771.32371017116</v>
      </c>
      <c r="N111" s="39">
        <f t="shared" si="15"/>
        <v>1469757.219399231</v>
      </c>
    </row>
    <row r="112" spans="1:14" x14ac:dyDescent="0.25">
      <c r="A112" s="58">
        <v>50</v>
      </c>
      <c r="B112" s="3" t="s">
        <v>76</v>
      </c>
      <c r="C112" s="54">
        <f t="shared" si="14"/>
        <v>0</v>
      </c>
      <c r="D112" s="29">
        <v>0</v>
      </c>
      <c r="E112" s="39">
        <v>0</v>
      </c>
      <c r="F112" s="5"/>
      <c r="G112" s="5">
        <v>0</v>
      </c>
      <c r="H112" s="39"/>
      <c r="I112" s="2">
        <f>C112+E112+G112</f>
        <v>0</v>
      </c>
      <c r="J112" s="75">
        <f>J111</f>
        <v>0.55000000000000004</v>
      </c>
      <c r="K112" s="5"/>
      <c r="L112" s="5"/>
      <c r="M112" s="39">
        <f t="shared" si="17"/>
        <v>0</v>
      </c>
      <c r="N112" s="39">
        <f t="shared" si="15"/>
        <v>0</v>
      </c>
    </row>
    <row r="113" spans="1:14" x14ac:dyDescent="0.25">
      <c r="A113" s="59">
        <v>43.2</v>
      </c>
      <c r="B113" s="79" t="s">
        <v>75</v>
      </c>
      <c r="C113" s="54">
        <f t="shared" si="14"/>
        <v>11145.586522924888</v>
      </c>
      <c r="D113" s="29">
        <f>'VRZ_CCA_w accel CCA'!E119</f>
        <v>106921.715</v>
      </c>
      <c r="E113" s="39">
        <v>0</v>
      </c>
      <c r="F113" s="5"/>
      <c r="G113" s="5"/>
      <c r="H113" s="39">
        <f>SUM(D113+G113)/2</f>
        <v>53460.857499999998</v>
      </c>
      <c r="I113" s="74">
        <f>C113+H113</f>
        <v>64606.444022924887</v>
      </c>
      <c r="J113" s="75">
        <v>0.5</v>
      </c>
      <c r="K113" s="5"/>
      <c r="L113" s="5"/>
      <c r="M113" s="39">
        <f t="shared" si="17"/>
        <v>32303.222011462443</v>
      </c>
      <c r="N113" s="39">
        <f t="shared" si="15"/>
        <v>85764.079511462449</v>
      </c>
    </row>
    <row r="114" spans="1:14" x14ac:dyDescent="0.25">
      <c r="A114" s="59">
        <v>14.1</v>
      </c>
      <c r="B114" s="79" t="s">
        <v>74</v>
      </c>
      <c r="C114" s="54">
        <f t="shared" si="14"/>
        <v>3588735.1576852328</v>
      </c>
      <c r="D114" s="67">
        <v>0</v>
      </c>
      <c r="E114" s="39">
        <v>0</v>
      </c>
      <c r="F114" s="5"/>
      <c r="G114" s="5"/>
      <c r="H114" s="39"/>
      <c r="I114" s="74">
        <f>C114</f>
        <v>3588735.1576852328</v>
      </c>
      <c r="J114" s="75">
        <v>7.0000000000000007E-2</v>
      </c>
      <c r="K114" s="5"/>
      <c r="L114" s="5"/>
      <c r="M114" s="39">
        <f t="shared" si="17"/>
        <v>251211.46103796634</v>
      </c>
      <c r="N114" s="39">
        <f t="shared" si="15"/>
        <v>3337523.6966472664</v>
      </c>
    </row>
    <row r="115" spans="1:14" x14ac:dyDescent="0.25">
      <c r="A115" s="59">
        <v>14.1</v>
      </c>
      <c r="B115" s="80" t="s">
        <v>73</v>
      </c>
      <c r="C115" s="54">
        <f t="shared" si="14"/>
        <v>1298042.8327311233</v>
      </c>
      <c r="D115" s="29">
        <f>'VRZ_CCA_w accel CCA'!E122</f>
        <v>9269</v>
      </c>
      <c r="E115" s="39">
        <v>0</v>
      </c>
      <c r="F115" s="5"/>
      <c r="G115" s="5"/>
      <c r="H115" s="39">
        <f>SUM(D115+G115)/2</f>
        <v>4634.5</v>
      </c>
      <c r="I115" s="74">
        <f>C115+H115</f>
        <v>1302677.3327311233</v>
      </c>
      <c r="J115" s="75">
        <v>0.05</v>
      </c>
      <c r="K115" s="5"/>
      <c r="L115" s="5"/>
      <c r="M115" s="39">
        <f t="shared" si="17"/>
        <v>65133.866636556166</v>
      </c>
      <c r="N115" s="39">
        <f t="shared" si="15"/>
        <v>1242177.9660945672</v>
      </c>
    </row>
    <row r="116" spans="1:14" ht="15.75" x14ac:dyDescent="0.25">
      <c r="A116" s="60">
        <v>95</v>
      </c>
      <c r="B116" s="60" t="s">
        <v>10</v>
      </c>
      <c r="C116" s="54">
        <v>0</v>
      </c>
      <c r="D116" s="29">
        <v>0</v>
      </c>
      <c r="E116" s="39">
        <v>0</v>
      </c>
      <c r="F116" s="2">
        <v>0</v>
      </c>
      <c r="G116" s="81"/>
      <c r="H116" s="39">
        <v>0</v>
      </c>
      <c r="I116" s="39">
        <f>C116+D116+E116+F116</f>
        <v>0</v>
      </c>
      <c r="J116" s="75">
        <v>0</v>
      </c>
      <c r="K116" s="2"/>
      <c r="L116" s="2"/>
      <c r="M116" s="39">
        <f t="shared" si="17"/>
        <v>0</v>
      </c>
      <c r="N116" s="39">
        <f t="shared" si="15"/>
        <v>0</v>
      </c>
    </row>
    <row r="117" spans="1:14" ht="15.75" thickBot="1" x14ac:dyDescent="0.3">
      <c r="A117" s="61" t="s">
        <v>11</v>
      </c>
      <c r="B117" s="62"/>
      <c r="C117" s="63">
        <f>SUM(C93:C116)</f>
        <v>231550118.15847915</v>
      </c>
      <c r="D117" s="64">
        <f t="shared" ref="D117:I117" si="18">SUM(D93:D116)</f>
        <v>19331000.579306852</v>
      </c>
      <c r="E117" s="64">
        <f t="shared" si="18"/>
        <v>0</v>
      </c>
      <c r="F117" s="23">
        <f t="shared" si="18"/>
        <v>0</v>
      </c>
      <c r="G117" s="23">
        <f t="shared" si="18"/>
        <v>-130639.88</v>
      </c>
      <c r="H117" s="63">
        <f t="shared" si="18"/>
        <v>9600180.3496534266</v>
      </c>
      <c r="I117" s="63">
        <f t="shared" si="18"/>
        <v>241150298.50813261</v>
      </c>
      <c r="J117" s="63" t="s">
        <v>0</v>
      </c>
      <c r="K117" s="63">
        <f>SUM(K93:K116)</f>
        <v>0</v>
      </c>
      <c r="L117" s="63">
        <f>SUM(L93:L116)</f>
        <v>0</v>
      </c>
      <c r="M117" s="63">
        <f>SUM(M93:M116)</f>
        <v>19634122.604713764</v>
      </c>
      <c r="N117" s="63">
        <f>SUM(N93:N116)</f>
        <v>231116356.25307226</v>
      </c>
    </row>
    <row r="118" spans="1:14" ht="15.75" thickTop="1" x14ac:dyDescent="0.25"/>
    <row r="119" spans="1:14" x14ac:dyDescent="0.25">
      <c r="A119" s="68">
        <v>2021</v>
      </c>
      <c r="B119" s="68" t="s">
        <v>142</v>
      </c>
    </row>
    <row r="120" spans="1:14" ht="30" x14ac:dyDescent="0.25">
      <c r="A120" s="53" t="s">
        <v>2</v>
      </c>
      <c r="B120" s="53" t="s">
        <v>3</v>
      </c>
      <c r="C120" s="53" t="s">
        <v>104</v>
      </c>
      <c r="D120" s="69" t="s">
        <v>105</v>
      </c>
      <c r="E120" s="69" t="s">
        <v>69</v>
      </c>
      <c r="F120" s="69" t="s">
        <v>4</v>
      </c>
      <c r="G120" s="69" t="s">
        <v>12</v>
      </c>
      <c r="H120" s="69" t="s">
        <v>5</v>
      </c>
      <c r="I120" s="69" t="s">
        <v>6</v>
      </c>
      <c r="J120" s="69" t="s">
        <v>57</v>
      </c>
      <c r="K120" s="69" t="s">
        <v>58</v>
      </c>
      <c r="L120" s="69" t="s">
        <v>7</v>
      </c>
      <c r="M120" s="69" t="s">
        <v>1</v>
      </c>
      <c r="N120" s="69" t="s">
        <v>8</v>
      </c>
    </row>
    <row r="121" spans="1:14" x14ac:dyDescent="0.25">
      <c r="A121" s="53"/>
      <c r="B121" s="53"/>
      <c r="C121" s="70"/>
      <c r="D121" s="28"/>
      <c r="E121" s="39"/>
      <c r="F121" s="1"/>
      <c r="G121" s="1"/>
      <c r="H121" s="1"/>
      <c r="I121" s="71"/>
      <c r="J121" s="72"/>
      <c r="K121" s="1"/>
      <c r="L121" s="1"/>
      <c r="M121" s="73"/>
      <c r="N121" s="73"/>
    </row>
    <row r="122" spans="1:14" x14ac:dyDescent="0.25">
      <c r="A122" s="3">
        <v>1</v>
      </c>
      <c r="B122" s="3" t="s">
        <v>94</v>
      </c>
      <c r="C122" s="54">
        <f>N93</f>
        <v>73701534.7950003</v>
      </c>
      <c r="D122" s="29">
        <v>0</v>
      </c>
      <c r="E122" s="39"/>
      <c r="F122" s="2"/>
      <c r="G122" s="2"/>
      <c r="H122" s="39">
        <f>SUM(D122+G122)/2</f>
        <v>0</v>
      </c>
      <c r="I122" s="74">
        <f>C122+H122</f>
        <v>73701534.7950003</v>
      </c>
      <c r="J122" s="75">
        <v>0.04</v>
      </c>
      <c r="K122" s="2"/>
      <c r="L122" s="2"/>
      <c r="M122" s="39">
        <f>I122*J122</f>
        <v>2948061.391800012</v>
      </c>
      <c r="N122" s="39">
        <f t="shared" ref="N122:N145" si="19">H122+I122-M122</f>
        <v>70753473.403200284</v>
      </c>
    </row>
    <row r="123" spans="1:14" x14ac:dyDescent="0.25">
      <c r="A123" s="55" t="s">
        <v>92</v>
      </c>
      <c r="B123" s="3" t="s">
        <v>93</v>
      </c>
      <c r="C123" s="54">
        <f>N94</f>
        <v>9639389.7746606935</v>
      </c>
      <c r="D123" s="29">
        <f>'VRZ_CCA_w accel CCA'!E131</f>
        <v>510575.92000000016</v>
      </c>
      <c r="E123" s="39">
        <v>0</v>
      </c>
      <c r="F123" s="2" t="s">
        <v>0</v>
      </c>
      <c r="G123" s="2"/>
      <c r="H123" s="74">
        <f>SUM(D123+G123)/2</f>
        <v>255287.96000000008</v>
      </c>
      <c r="I123" s="2">
        <f>C123+H123</f>
        <v>9894677.7346606944</v>
      </c>
      <c r="J123" s="75">
        <v>0.06</v>
      </c>
      <c r="K123" s="2"/>
      <c r="L123" s="2"/>
      <c r="M123" s="39">
        <f t="shared" ref="M123:M134" si="20">I123*J123</f>
        <v>593680.66407964169</v>
      </c>
      <c r="N123" s="39">
        <f t="shared" si="19"/>
        <v>9556285.0305810533</v>
      </c>
    </row>
    <row r="124" spans="1:14" x14ac:dyDescent="0.25">
      <c r="A124" s="55" t="s">
        <v>92</v>
      </c>
      <c r="B124" s="3" t="s">
        <v>91</v>
      </c>
      <c r="C124" s="54">
        <f t="shared" ref="C124:C145" si="21">N95</f>
        <v>0</v>
      </c>
      <c r="D124" s="29">
        <v>0</v>
      </c>
      <c r="E124" s="39">
        <v>0</v>
      </c>
      <c r="F124" s="2"/>
      <c r="G124" s="2"/>
      <c r="H124" s="74">
        <f>SUM(D124+G124)/2</f>
        <v>0</v>
      </c>
      <c r="I124" s="74">
        <f>C124+E124+G124</f>
        <v>0</v>
      </c>
      <c r="J124" s="75">
        <f>J123</f>
        <v>0.06</v>
      </c>
      <c r="K124" s="2"/>
      <c r="L124" s="2"/>
      <c r="M124" s="39">
        <f t="shared" si="20"/>
        <v>0</v>
      </c>
      <c r="N124" s="39">
        <f t="shared" si="19"/>
        <v>0</v>
      </c>
    </row>
    <row r="125" spans="1:14" x14ac:dyDescent="0.25">
      <c r="A125" s="56">
        <v>8</v>
      </c>
      <c r="B125" s="56" t="s">
        <v>90</v>
      </c>
      <c r="C125" s="54">
        <f t="shared" si="21"/>
        <v>4087143.930246837</v>
      </c>
      <c r="D125" s="67">
        <f>'VRZ_CCA_w accel CCA'!E133</f>
        <v>607823.92000000132</v>
      </c>
      <c r="E125" s="29">
        <v>0</v>
      </c>
      <c r="F125" s="2"/>
      <c r="G125" s="2"/>
      <c r="H125" s="74">
        <f>SUM(D125+G125)/2</f>
        <v>303911.96000000066</v>
      </c>
      <c r="I125" s="2">
        <f>C125+H125</f>
        <v>4391055.8902468374</v>
      </c>
      <c r="J125" s="75">
        <v>0.2</v>
      </c>
      <c r="K125" s="2"/>
      <c r="L125" s="2"/>
      <c r="M125" s="39">
        <f t="shared" si="20"/>
        <v>878211.1780493675</v>
      </c>
      <c r="N125" s="39">
        <f t="shared" si="19"/>
        <v>3816756.6721974709</v>
      </c>
    </row>
    <row r="126" spans="1:14" x14ac:dyDescent="0.25">
      <c r="A126" s="56">
        <v>8</v>
      </c>
      <c r="B126" s="56" t="s">
        <v>62</v>
      </c>
      <c r="C126" s="54">
        <f t="shared" si="21"/>
        <v>0</v>
      </c>
      <c r="D126" s="29">
        <v>0</v>
      </c>
      <c r="E126" s="39">
        <v>0</v>
      </c>
      <c r="F126" s="2"/>
      <c r="G126" s="2"/>
      <c r="H126" s="39"/>
      <c r="I126" s="74">
        <f>C126+E126+G126</f>
        <v>0</v>
      </c>
      <c r="J126" s="75">
        <f>J125</f>
        <v>0.2</v>
      </c>
      <c r="K126" s="2"/>
      <c r="L126" s="2"/>
      <c r="M126" s="39">
        <f t="shared" si="20"/>
        <v>0</v>
      </c>
      <c r="N126" s="39">
        <f t="shared" si="19"/>
        <v>0</v>
      </c>
    </row>
    <row r="127" spans="1:14" x14ac:dyDescent="0.25">
      <c r="A127" s="3">
        <v>10</v>
      </c>
      <c r="B127" s="3" t="s">
        <v>9</v>
      </c>
      <c r="C127" s="54">
        <f t="shared" si="21"/>
        <v>2784716.476442243</v>
      </c>
      <c r="D127" s="29">
        <f>'VRZ_CCA_w accel CCA'!E135</f>
        <v>1417679.1399999994</v>
      </c>
      <c r="E127" s="39">
        <v>0</v>
      </c>
      <c r="F127" s="2"/>
      <c r="G127" s="2">
        <f>'VRZ_CCA_w accel CCA'!G135</f>
        <v>-49240</v>
      </c>
      <c r="H127" s="74">
        <f>SUM(D127+G127)/2</f>
        <v>684219.56999999972</v>
      </c>
      <c r="I127" s="74">
        <f>C127+H127</f>
        <v>3468936.0464422428</v>
      </c>
      <c r="J127" s="75">
        <v>0.3</v>
      </c>
      <c r="K127" s="2"/>
      <c r="L127" s="2"/>
      <c r="M127" s="39">
        <f t="shared" si="20"/>
        <v>1040680.8139326728</v>
      </c>
      <c r="N127" s="39">
        <f t="shared" si="19"/>
        <v>3112474.8025095696</v>
      </c>
    </row>
    <row r="128" spans="1:14" x14ac:dyDescent="0.25">
      <c r="A128" s="3">
        <v>10</v>
      </c>
      <c r="B128" s="3" t="s">
        <v>89</v>
      </c>
      <c r="C128" s="54">
        <f t="shared" si="21"/>
        <v>0</v>
      </c>
      <c r="D128" s="29">
        <v>0</v>
      </c>
      <c r="E128" s="39">
        <v>0</v>
      </c>
      <c r="F128" s="2"/>
      <c r="G128" s="2"/>
      <c r="H128" s="39"/>
      <c r="I128" s="74">
        <f>C128+E128+G128</f>
        <v>0</v>
      </c>
      <c r="J128" s="75">
        <f>J127</f>
        <v>0.3</v>
      </c>
      <c r="K128" s="2"/>
      <c r="L128" s="2"/>
      <c r="M128" s="39">
        <f t="shared" si="20"/>
        <v>0</v>
      </c>
      <c r="N128" s="39">
        <f t="shared" si="19"/>
        <v>0</v>
      </c>
    </row>
    <row r="129" spans="1:14" x14ac:dyDescent="0.25">
      <c r="A129" s="56">
        <v>10.1</v>
      </c>
      <c r="B129" s="3" t="s">
        <v>88</v>
      </c>
      <c r="C129" s="54">
        <f t="shared" si="21"/>
        <v>402.50200582950572</v>
      </c>
      <c r="D129" s="29">
        <v>0</v>
      </c>
      <c r="E129" s="39">
        <v>0</v>
      </c>
      <c r="F129" s="2"/>
      <c r="G129" s="2"/>
      <c r="H129" s="39">
        <f>SUM(D129+G129)/2</f>
        <v>0</v>
      </c>
      <c r="I129" s="74">
        <f>C129+H129</f>
        <v>402.50200582950572</v>
      </c>
      <c r="J129" s="75">
        <v>0.3</v>
      </c>
      <c r="K129" s="2"/>
      <c r="L129" s="2"/>
      <c r="M129" s="39">
        <f t="shared" si="20"/>
        <v>120.75060174885171</v>
      </c>
      <c r="N129" s="39">
        <f t="shared" si="19"/>
        <v>281.75140408065403</v>
      </c>
    </row>
    <row r="130" spans="1:14" x14ac:dyDescent="0.25">
      <c r="A130" s="56">
        <v>10.1</v>
      </c>
      <c r="B130" s="3" t="s">
        <v>87</v>
      </c>
      <c r="C130" s="54">
        <f t="shared" si="21"/>
        <v>403.2308460392469</v>
      </c>
      <c r="D130" s="29">
        <v>0</v>
      </c>
      <c r="E130" s="39">
        <v>0</v>
      </c>
      <c r="F130" s="2"/>
      <c r="G130" s="2"/>
      <c r="H130" s="39">
        <f>SUM(D130+G130)/2</f>
        <v>0</v>
      </c>
      <c r="I130" s="74">
        <f>C130+H130</f>
        <v>403.2308460392469</v>
      </c>
      <c r="J130" s="75">
        <v>0.3</v>
      </c>
      <c r="K130" s="2"/>
      <c r="L130" s="2"/>
      <c r="M130" s="39">
        <f t="shared" si="20"/>
        <v>120.96925381177407</v>
      </c>
      <c r="N130" s="39">
        <f t="shared" si="19"/>
        <v>282.26159222747282</v>
      </c>
    </row>
    <row r="131" spans="1:14" x14ac:dyDescent="0.25">
      <c r="A131" s="56">
        <v>10.1</v>
      </c>
      <c r="B131" s="3" t="s">
        <v>86</v>
      </c>
      <c r="C131" s="54">
        <f t="shared" si="21"/>
        <v>583.3758512135812</v>
      </c>
      <c r="D131" s="29">
        <v>0</v>
      </c>
      <c r="E131" s="39">
        <v>0</v>
      </c>
      <c r="F131" s="2"/>
      <c r="G131" s="2"/>
      <c r="H131" s="39">
        <f>SUM(D131+G131)/2</f>
        <v>0</v>
      </c>
      <c r="I131" s="74">
        <f>C131+H131</f>
        <v>583.3758512135812</v>
      </c>
      <c r="J131" s="75">
        <v>0.3</v>
      </c>
      <c r="K131" s="2"/>
      <c r="L131" s="2"/>
      <c r="M131" s="39">
        <f t="shared" si="20"/>
        <v>175.01275536407437</v>
      </c>
      <c r="N131" s="39">
        <f t="shared" si="19"/>
        <v>408.36309584950686</v>
      </c>
    </row>
    <row r="132" spans="1:14" x14ac:dyDescent="0.25">
      <c r="A132" s="56">
        <v>10.1</v>
      </c>
      <c r="B132" s="3" t="s">
        <v>85</v>
      </c>
      <c r="C132" s="54">
        <f t="shared" si="21"/>
        <v>833.34490537033184</v>
      </c>
      <c r="D132" s="29">
        <v>0</v>
      </c>
      <c r="E132" s="39">
        <v>0</v>
      </c>
      <c r="F132" s="2"/>
      <c r="G132" s="2"/>
      <c r="H132" s="39">
        <f>SUM(D132+G132)/2</f>
        <v>0</v>
      </c>
      <c r="I132" s="74">
        <f>C132+H132</f>
        <v>833.34490537033184</v>
      </c>
      <c r="J132" s="75">
        <v>0.3</v>
      </c>
      <c r="K132" s="2"/>
      <c r="L132" s="2"/>
      <c r="M132" s="39">
        <f t="shared" si="20"/>
        <v>250.00347161109954</v>
      </c>
      <c r="N132" s="39">
        <f t="shared" si="19"/>
        <v>583.34143375923236</v>
      </c>
    </row>
    <row r="133" spans="1:14" x14ac:dyDescent="0.25">
      <c r="A133" s="56">
        <v>12</v>
      </c>
      <c r="B133" s="57" t="s">
        <v>84</v>
      </c>
      <c r="C133" s="54">
        <f t="shared" si="21"/>
        <v>1066468.0299999993</v>
      </c>
      <c r="D133" s="67">
        <f>'VRZ_CCA_w accel CCA'!E141</f>
        <v>2270712.1800000016</v>
      </c>
      <c r="E133" s="29">
        <v>0</v>
      </c>
      <c r="F133" s="2"/>
      <c r="G133" s="2"/>
      <c r="H133" s="39">
        <f>SUM(D133+G133)/2</f>
        <v>1135356.0900000008</v>
      </c>
      <c r="I133" s="74">
        <f>C133+H133</f>
        <v>2201824.12</v>
      </c>
      <c r="J133" s="75">
        <v>1</v>
      </c>
      <c r="K133" s="2"/>
      <c r="L133" s="2"/>
      <c r="M133" s="39">
        <f t="shared" si="20"/>
        <v>2201824.12</v>
      </c>
      <c r="N133" s="39">
        <f t="shared" si="19"/>
        <v>1135356.0900000008</v>
      </c>
    </row>
    <row r="134" spans="1:14" x14ac:dyDescent="0.25">
      <c r="A134" s="56">
        <v>12</v>
      </c>
      <c r="B134" s="57" t="s">
        <v>83</v>
      </c>
      <c r="C134" s="39">
        <f t="shared" si="21"/>
        <v>0</v>
      </c>
      <c r="D134" s="29">
        <v>0</v>
      </c>
      <c r="E134" s="39">
        <v>0</v>
      </c>
      <c r="F134" s="2"/>
      <c r="G134" s="2"/>
      <c r="H134" s="74"/>
      <c r="I134" s="74">
        <f>C134+E134+G134</f>
        <v>0</v>
      </c>
      <c r="J134" s="75">
        <f>J133</f>
        <v>1</v>
      </c>
      <c r="K134" s="2"/>
      <c r="L134" s="2"/>
      <c r="M134" s="39">
        <f t="shared" si="20"/>
        <v>0</v>
      </c>
      <c r="N134" s="39">
        <f t="shared" si="19"/>
        <v>0</v>
      </c>
    </row>
    <row r="135" spans="1:14" x14ac:dyDescent="0.25">
      <c r="A135" s="56">
        <v>13</v>
      </c>
      <c r="B135" s="57" t="s">
        <v>82</v>
      </c>
      <c r="C135" s="54">
        <f t="shared" si="21"/>
        <v>92185.72314956662</v>
      </c>
      <c r="D135" s="29">
        <v>0</v>
      </c>
      <c r="E135" s="39"/>
      <c r="F135" s="2"/>
      <c r="G135" s="2"/>
      <c r="H135" s="74">
        <v>0</v>
      </c>
      <c r="I135" s="74">
        <f>C135+D135</f>
        <v>92185.72314956662</v>
      </c>
      <c r="J135" s="75">
        <v>0</v>
      </c>
      <c r="K135" s="2"/>
      <c r="L135" s="77"/>
      <c r="M135" s="74">
        <f>'VRZ_CCA_w accel CCA'!M142</f>
        <v>62250</v>
      </c>
      <c r="N135" s="39">
        <f t="shared" si="19"/>
        <v>29935.72314956662</v>
      </c>
    </row>
    <row r="136" spans="1:14" x14ac:dyDescent="0.25">
      <c r="A136" s="56">
        <v>42</v>
      </c>
      <c r="B136" s="56" t="s">
        <v>81</v>
      </c>
      <c r="C136" s="54">
        <f t="shared" si="21"/>
        <v>1685.8740039638226</v>
      </c>
      <c r="D136" s="29">
        <v>0</v>
      </c>
      <c r="E136" s="39">
        <v>0</v>
      </c>
      <c r="F136" s="2"/>
      <c r="G136" s="2"/>
      <c r="H136" s="74">
        <f>SUM(D136+G136)/2</f>
        <v>0</v>
      </c>
      <c r="I136" s="76">
        <f>C136+H136</f>
        <v>1685.8740039638226</v>
      </c>
      <c r="J136" s="75">
        <v>0.12</v>
      </c>
      <c r="K136" s="2"/>
      <c r="L136" s="2"/>
      <c r="M136" s="39">
        <f>I136*J136</f>
        <v>202.30488047565871</v>
      </c>
      <c r="N136" s="39">
        <f t="shared" si="19"/>
        <v>1483.5691234881638</v>
      </c>
    </row>
    <row r="137" spans="1:14" x14ac:dyDescent="0.25">
      <c r="A137" s="3">
        <v>45</v>
      </c>
      <c r="B137" s="3" t="s">
        <v>80</v>
      </c>
      <c r="C137" s="54">
        <f t="shared" si="21"/>
        <v>189.95561622863073</v>
      </c>
      <c r="D137" s="78">
        <v>0</v>
      </c>
      <c r="E137" s="39">
        <v>0</v>
      </c>
      <c r="F137" s="2"/>
      <c r="G137" s="2"/>
      <c r="H137" s="74">
        <f>SUM(D137+G137)/2</f>
        <v>0</v>
      </c>
      <c r="I137" s="2">
        <f>C137+H137</f>
        <v>189.95561622863073</v>
      </c>
      <c r="J137" s="75">
        <v>0.45</v>
      </c>
      <c r="K137" s="2"/>
      <c r="L137" s="2"/>
      <c r="M137" s="39">
        <f t="shared" ref="M137:M145" si="22">I137*J137</f>
        <v>85.480027302883826</v>
      </c>
      <c r="N137" s="39">
        <f t="shared" si="19"/>
        <v>104.47558892574691</v>
      </c>
    </row>
    <row r="138" spans="1:14" ht="15.75" x14ac:dyDescent="0.25">
      <c r="A138" s="56">
        <v>47</v>
      </c>
      <c r="B138" s="56" t="s">
        <v>79</v>
      </c>
      <c r="C138" s="54">
        <f t="shared" si="21"/>
        <v>133605596.27869144</v>
      </c>
      <c r="D138" s="67">
        <f>'VRZ_CCA_w accel CCA'!E146</f>
        <v>19482707.730530061</v>
      </c>
      <c r="E138" s="29">
        <v>0</v>
      </c>
      <c r="F138" s="2">
        <v>0</v>
      </c>
      <c r="G138" s="67">
        <f>'VRZ_CCA_w accel CCA'!G146</f>
        <v>-134542</v>
      </c>
      <c r="H138" s="74">
        <f>SUM(D138+G138)/2</f>
        <v>9674082.8652650304</v>
      </c>
      <c r="I138" s="2">
        <f>C138+H138</f>
        <v>143279679.14395648</v>
      </c>
      <c r="J138" s="75">
        <v>0.08</v>
      </c>
      <c r="K138" s="2"/>
      <c r="L138" s="2"/>
      <c r="M138" s="39">
        <f t="shared" si="22"/>
        <v>11462374.331516519</v>
      </c>
      <c r="N138" s="39">
        <f t="shared" si="19"/>
        <v>141491387.67770499</v>
      </c>
    </row>
    <row r="139" spans="1:14" x14ac:dyDescent="0.25">
      <c r="A139" s="56">
        <v>47</v>
      </c>
      <c r="B139" s="56" t="s">
        <v>78</v>
      </c>
      <c r="C139" s="54">
        <f t="shared" si="21"/>
        <v>0</v>
      </c>
      <c r="D139" s="29">
        <v>0</v>
      </c>
      <c r="E139" s="39">
        <v>0</v>
      </c>
      <c r="F139" s="2"/>
      <c r="G139" s="2">
        <v>0</v>
      </c>
      <c r="H139" s="74">
        <v>0</v>
      </c>
      <c r="I139" s="2">
        <f>C139+E139+G139</f>
        <v>0</v>
      </c>
      <c r="J139" s="75">
        <f>J138</f>
        <v>0.08</v>
      </c>
      <c r="K139" s="2"/>
      <c r="L139" s="2"/>
      <c r="M139" s="39">
        <f t="shared" si="22"/>
        <v>0</v>
      </c>
      <c r="N139" s="39">
        <f t="shared" si="19"/>
        <v>0</v>
      </c>
    </row>
    <row r="140" spans="1:14" x14ac:dyDescent="0.25">
      <c r="A140" s="3">
        <v>50</v>
      </c>
      <c r="B140" s="3" t="s">
        <v>77</v>
      </c>
      <c r="C140" s="54">
        <f t="shared" si="21"/>
        <v>1469757.219399231</v>
      </c>
      <c r="D140" s="29">
        <f>'VRZ_CCA_w accel CCA'!E148</f>
        <v>1984025.4100000006</v>
      </c>
      <c r="E140" s="39">
        <v>0</v>
      </c>
      <c r="F140" s="2">
        <v>0</v>
      </c>
      <c r="G140" s="2"/>
      <c r="H140" s="74">
        <f>SUM(D140+G140)/2</f>
        <v>992012.70500000031</v>
      </c>
      <c r="I140" s="74">
        <f>C140+H140+F140</f>
        <v>2461769.9243992316</v>
      </c>
      <c r="J140" s="75">
        <v>0.55000000000000004</v>
      </c>
      <c r="K140" s="2"/>
      <c r="L140" s="2"/>
      <c r="M140" s="39">
        <f t="shared" si="22"/>
        <v>1353973.4584195775</v>
      </c>
      <c r="N140" s="39">
        <f t="shared" si="19"/>
        <v>2099809.1709796544</v>
      </c>
    </row>
    <row r="141" spans="1:14" x14ac:dyDescent="0.25">
      <c r="A141" s="58">
        <v>50</v>
      </c>
      <c r="B141" s="3" t="s">
        <v>76</v>
      </c>
      <c r="C141" s="54">
        <f t="shared" si="21"/>
        <v>0</v>
      </c>
      <c r="D141" s="29">
        <v>0</v>
      </c>
      <c r="E141" s="39">
        <v>0</v>
      </c>
      <c r="F141" s="5"/>
      <c r="G141" s="5">
        <v>0</v>
      </c>
      <c r="H141" s="39"/>
      <c r="I141" s="2">
        <f>C141+E141+G141</f>
        <v>0</v>
      </c>
      <c r="J141" s="75">
        <f>J140</f>
        <v>0.55000000000000004</v>
      </c>
      <c r="K141" s="5"/>
      <c r="L141" s="5"/>
      <c r="M141" s="39">
        <f t="shared" si="22"/>
        <v>0</v>
      </c>
      <c r="N141" s="39">
        <f t="shared" si="19"/>
        <v>0</v>
      </c>
    </row>
    <row r="142" spans="1:14" x14ac:dyDescent="0.25">
      <c r="A142" s="59">
        <v>43.2</v>
      </c>
      <c r="B142" s="79" t="s">
        <v>75</v>
      </c>
      <c r="C142" s="54">
        <f t="shared" si="21"/>
        <v>85764.079511462449</v>
      </c>
      <c r="D142" s="29">
        <v>0</v>
      </c>
      <c r="E142" s="39">
        <v>0</v>
      </c>
      <c r="F142" s="5"/>
      <c r="G142" s="5"/>
      <c r="H142" s="39">
        <f>SUM(D142+G142)/2</f>
        <v>0</v>
      </c>
      <c r="I142" s="74">
        <f>C142+H142</f>
        <v>85764.079511462449</v>
      </c>
      <c r="J142" s="75">
        <v>0.5</v>
      </c>
      <c r="K142" s="5"/>
      <c r="L142" s="5"/>
      <c r="M142" s="39">
        <f t="shared" si="22"/>
        <v>42882.039755731224</v>
      </c>
      <c r="N142" s="39">
        <f t="shared" si="19"/>
        <v>42882.039755731224</v>
      </c>
    </row>
    <row r="143" spans="1:14" x14ac:dyDescent="0.25">
      <c r="A143" s="59">
        <v>14.1</v>
      </c>
      <c r="B143" s="79" t="s">
        <v>74</v>
      </c>
      <c r="C143" s="54">
        <f t="shared" si="21"/>
        <v>3337523.6966472664</v>
      </c>
      <c r="D143" s="67">
        <v>0</v>
      </c>
      <c r="E143" s="39">
        <v>0</v>
      </c>
      <c r="F143" s="5"/>
      <c r="G143" s="5"/>
      <c r="H143" s="39"/>
      <c r="I143" s="74">
        <f>C143</f>
        <v>3337523.6966472664</v>
      </c>
      <c r="J143" s="75">
        <v>7.0000000000000007E-2</v>
      </c>
      <c r="K143" s="5"/>
      <c r="L143" s="5"/>
      <c r="M143" s="39">
        <f t="shared" si="22"/>
        <v>233626.65876530868</v>
      </c>
      <c r="N143" s="39">
        <f t="shared" si="19"/>
        <v>3103897.0378819578</v>
      </c>
    </row>
    <row r="144" spans="1:14" x14ac:dyDescent="0.25">
      <c r="A144" s="59">
        <v>14.1</v>
      </c>
      <c r="B144" s="80" t="s">
        <v>73</v>
      </c>
      <c r="C144" s="54">
        <f t="shared" si="21"/>
        <v>1242177.9660945672</v>
      </c>
      <c r="D144" s="29">
        <f>'VRZ_CCA_w accel CCA'!E153</f>
        <v>3841402</v>
      </c>
      <c r="E144" s="39">
        <v>0</v>
      </c>
      <c r="F144" s="5"/>
      <c r="G144" s="5"/>
      <c r="H144" s="39">
        <f>SUM(D144+G144)/2</f>
        <v>1920701</v>
      </c>
      <c r="I144" s="74">
        <f>C144+H144</f>
        <v>3162878.9660945674</v>
      </c>
      <c r="J144" s="75">
        <v>0.05</v>
      </c>
      <c r="K144" s="5"/>
      <c r="L144" s="5"/>
      <c r="M144" s="39">
        <f t="shared" si="22"/>
        <v>158143.94830472837</v>
      </c>
      <c r="N144" s="39">
        <f t="shared" si="19"/>
        <v>4925436.0177898388</v>
      </c>
    </row>
    <row r="145" spans="1:14" ht="15.75" x14ac:dyDescent="0.25">
      <c r="A145" s="60">
        <v>95</v>
      </c>
      <c r="B145" s="60" t="s">
        <v>10</v>
      </c>
      <c r="C145" s="54">
        <f t="shared" si="21"/>
        <v>0</v>
      </c>
      <c r="D145" s="29">
        <f>'VRZ_CCA_w accel CCA'!E154</f>
        <v>0</v>
      </c>
      <c r="E145" s="39">
        <v>0</v>
      </c>
      <c r="F145" s="2">
        <v>0</v>
      </c>
      <c r="G145" s="81"/>
      <c r="H145" s="39">
        <v>0</v>
      </c>
      <c r="I145" s="39">
        <f>C145+D145+E145+F145</f>
        <v>0</v>
      </c>
      <c r="J145" s="75">
        <v>0</v>
      </c>
      <c r="K145" s="2"/>
      <c r="L145" s="2"/>
      <c r="M145" s="39">
        <f t="shared" si="22"/>
        <v>0</v>
      </c>
      <c r="N145" s="39">
        <f t="shared" si="19"/>
        <v>0</v>
      </c>
    </row>
    <row r="146" spans="1:14" ht="15.75" thickBot="1" x14ac:dyDescent="0.3">
      <c r="A146" s="61" t="s">
        <v>11</v>
      </c>
      <c r="B146" s="62"/>
      <c r="C146" s="63">
        <f>SUM(C122:C145)</f>
        <v>231116356.25307226</v>
      </c>
      <c r="D146" s="64">
        <f t="shared" ref="D146:I146" si="23">SUM(D122:D145)</f>
        <v>30114926.300530065</v>
      </c>
      <c r="E146" s="64">
        <f t="shared" si="23"/>
        <v>0</v>
      </c>
      <c r="F146" s="23">
        <f t="shared" si="23"/>
        <v>0</v>
      </c>
      <c r="G146" s="23">
        <f t="shared" si="23"/>
        <v>-183782</v>
      </c>
      <c r="H146" s="63">
        <f t="shared" si="23"/>
        <v>14965572.150265032</v>
      </c>
      <c r="I146" s="63">
        <f t="shared" si="23"/>
        <v>246081928.4033373</v>
      </c>
      <c r="J146" s="63" t="s">
        <v>0</v>
      </c>
      <c r="K146" s="63">
        <f>SUM(K122:K145)</f>
        <v>0</v>
      </c>
      <c r="L146" s="63">
        <f>SUM(L122:L145)</f>
        <v>0</v>
      </c>
      <c r="M146" s="63">
        <f>SUM(M122:M145)</f>
        <v>20976663.125613872</v>
      </c>
      <c r="N146" s="63">
        <f>SUM(N122:N145)</f>
        <v>240070837.42798847</v>
      </c>
    </row>
    <row r="147" spans="1:14" ht="15.75" thickTop="1" x14ac:dyDescent="0.25"/>
    <row r="148" spans="1:14" x14ac:dyDescent="0.25">
      <c r="A148" s="68">
        <v>2022</v>
      </c>
      <c r="B148" s="68" t="s">
        <v>107</v>
      </c>
    </row>
    <row r="149" spans="1:14" ht="30" x14ac:dyDescent="0.25">
      <c r="A149" s="53" t="s">
        <v>2</v>
      </c>
      <c r="B149" s="53" t="s">
        <v>3</v>
      </c>
      <c r="C149" s="53" t="s">
        <v>110</v>
      </c>
      <c r="D149" s="69" t="s">
        <v>114</v>
      </c>
      <c r="E149" s="69" t="s">
        <v>69</v>
      </c>
      <c r="F149" s="69" t="s">
        <v>4</v>
      </c>
      <c r="G149" s="69" t="s">
        <v>12</v>
      </c>
      <c r="H149" s="69" t="s">
        <v>5</v>
      </c>
      <c r="I149" s="69" t="s">
        <v>6</v>
      </c>
      <c r="J149" s="69" t="s">
        <v>57</v>
      </c>
      <c r="K149" s="69" t="s">
        <v>58</v>
      </c>
      <c r="L149" s="69" t="s">
        <v>7</v>
      </c>
      <c r="M149" s="69" t="s">
        <v>1</v>
      </c>
      <c r="N149" s="69" t="s">
        <v>8</v>
      </c>
    </row>
    <row r="150" spans="1:14" x14ac:dyDescent="0.25">
      <c r="A150" s="53"/>
      <c r="B150" s="53"/>
      <c r="C150" s="70"/>
      <c r="D150" s="28"/>
      <c r="E150" s="39"/>
      <c r="F150" s="1"/>
      <c r="G150" s="1"/>
      <c r="H150" s="1"/>
      <c r="I150" s="71"/>
      <c r="J150" s="72"/>
      <c r="K150" s="1"/>
      <c r="L150" s="1"/>
      <c r="M150" s="73"/>
      <c r="N150" s="73"/>
    </row>
    <row r="151" spans="1:14" x14ac:dyDescent="0.25">
      <c r="A151" s="3">
        <v>1</v>
      </c>
      <c r="B151" s="3" t="s">
        <v>94</v>
      </c>
      <c r="C151" s="54">
        <f>N122</f>
        <v>70753473.403200284</v>
      </c>
      <c r="D151" s="29">
        <v>0</v>
      </c>
      <c r="E151" s="39"/>
      <c r="F151" s="2"/>
      <c r="G151" s="2"/>
      <c r="H151" s="39">
        <f>SUM(D151+G151)/2</f>
        <v>0</v>
      </c>
      <c r="I151" s="74">
        <f>C151+H151</f>
        <v>70753473.403200284</v>
      </c>
      <c r="J151" s="75">
        <v>0.04</v>
      </c>
      <c r="K151" s="2"/>
      <c r="L151" s="2"/>
      <c r="M151" s="39">
        <f>I151*J151</f>
        <v>2830138.9361280114</v>
      </c>
      <c r="N151" s="39">
        <f t="shared" ref="N151:N174" si="24">H151+I151-M151</f>
        <v>67923334.467072278</v>
      </c>
    </row>
    <row r="152" spans="1:14" x14ac:dyDescent="0.25">
      <c r="A152" s="55" t="s">
        <v>92</v>
      </c>
      <c r="B152" s="3" t="s">
        <v>93</v>
      </c>
      <c r="C152" s="54">
        <f>N123</f>
        <v>9556285.0305810533</v>
      </c>
      <c r="D152" s="29">
        <f>'VRZ_CCA_w accel CCA'!E162</f>
        <v>3915251.9299999992</v>
      </c>
      <c r="E152" s="39">
        <v>0</v>
      </c>
      <c r="F152" s="2" t="s">
        <v>0</v>
      </c>
      <c r="G152" s="2"/>
      <c r="H152" s="74">
        <f>SUM(D152+G152)/2</f>
        <v>1957625.9649999996</v>
      </c>
      <c r="I152" s="2">
        <f>C152+H152</f>
        <v>11513910.995581053</v>
      </c>
      <c r="J152" s="75">
        <v>0.06</v>
      </c>
      <c r="K152" s="2"/>
      <c r="L152" s="2"/>
      <c r="M152" s="39">
        <f>I152*J152</f>
        <v>690834.65973486321</v>
      </c>
      <c r="N152" s="39">
        <f t="shared" si="24"/>
        <v>12780702.300846189</v>
      </c>
    </row>
    <row r="153" spans="1:14" x14ac:dyDescent="0.25">
      <c r="A153" s="55" t="s">
        <v>92</v>
      </c>
      <c r="B153" s="3" t="s">
        <v>91</v>
      </c>
      <c r="C153" s="54">
        <f t="shared" ref="C153:C174" si="25">N124</f>
        <v>0</v>
      </c>
      <c r="D153" s="29">
        <v>0</v>
      </c>
      <c r="E153" s="39">
        <v>0</v>
      </c>
      <c r="F153" s="2"/>
      <c r="G153" s="2"/>
      <c r="H153" s="74">
        <f>SUM(D153+G153)/2</f>
        <v>0</v>
      </c>
      <c r="I153" s="74">
        <f>C153+E153+G153</f>
        <v>0</v>
      </c>
      <c r="J153" s="75">
        <f>J152</f>
        <v>0.06</v>
      </c>
      <c r="K153" s="2"/>
      <c r="L153" s="2"/>
      <c r="M153" s="39">
        <f t="shared" ref="M153:M163" si="26">I153*J153</f>
        <v>0</v>
      </c>
      <c r="N153" s="39">
        <f t="shared" si="24"/>
        <v>0</v>
      </c>
    </row>
    <row r="154" spans="1:14" x14ac:dyDescent="0.25">
      <c r="A154" s="56">
        <v>8</v>
      </c>
      <c r="B154" s="56" t="s">
        <v>90</v>
      </c>
      <c r="C154" s="54">
        <f t="shared" si="25"/>
        <v>3816756.6721974709</v>
      </c>
      <c r="D154" s="67">
        <f>'VRZ_CCA_w accel CCA'!E164</f>
        <v>1220704.3899999987</v>
      </c>
      <c r="E154" s="29">
        <v>0</v>
      </c>
      <c r="F154" s="2"/>
      <c r="G154" s="2"/>
      <c r="H154" s="74">
        <f>SUM(D154+G154)/2</f>
        <v>610352.19499999937</v>
      </c>
      <c r="I154" s="2">
        <f>C154+H154</f>
        <v>4427108.8671974707</v>
      </c>
      <c r="J154" s="75">
        <v>0.2</v>
      </c>
      <c r="K154" s="2"/>
      <c r="L154" s="2"/>
      <c r="M154" s="93">
        <f>I154*J154</f>
        <v>885421.77343949419</v>
      </c>
      <c r="N154" s="39">
        <f>H154+I154-M154</f>
        <v>4152039.2887579761</v>
      </c>
    </row>
    <row r="155" spans="1:14" x14ac:dyDescent="0.25">
      <c r="A155" s="56">
        <v>8</v>
      </c>
      <c r="B155" s="56" t="s">
        <v>62</v>
      </c>
      <c r="C155" s="54">
        <f t="shared" si="25"/>
        <v>0</v>
      </c>
      <c r="D155" s="29">
        <v>0</v>
      </c>
      <c r="E155" s="39">
        <v>0</v>
      </c>
      <c r="F155" s="2"/>
      <c r="G155" s="2"/>
      <c r="H155" s="39"/>
      <c r="I155" s="74">
        <f>C155+E155+G155</f>
        <v>0</v>
      </c>
      <c r="J155" s="75">
        <f>J154*1.5</f>
        <v>0.30000000000000004</v>
      </c>
      <c r="K155" s="2"/>
      <c r="L155" s="2"/>
      <c r="M155" s="39">
        <f t="shared" si="26"/>
        <v>0</v>
      </c>
      <c r="N155" s="39">
        <f t="shared" si="24"/>
        <v>0</v>
      </c>
    </row>
    <row r="156" spans="1:14" x14ac:dyDescent="0.25">
      <c r="A156" s="3">
        <v>10</v>
      </c>
      <c r="B156" s="3" t="s">
        <v>9</v>
      </c>
      <c r="C156" s="54">
        <f t="shared" si="25"/>
        <v>3112474.8025095696</v>
      </c>
      <c r="D156" s="29">
        <f>'VRZ_CCA_w accel CCA'!E166</f>
        <v>1776513.6399999997</v>
      </c>
      <c r="E156" s="39">
        <v>0</v>
      </c>
      <c r="F156" s="2"/>
      <c r="G156" s="2">
        <f>'VRZ_CCA_w accel CCA'!G166</f>
        <v>-193124</v>
      </c>
      <c r="H156" s="74">
        <f>SUM(D156+G156)/2</f>
        <v>791694.81999999983</v>
      </c>
      <c r="I156" s="74">
        <f>C156+H156</f>
        <v>3904169.6225095694</v>
      </c>
      <c r="J156" s="75">
        <v>0.3</v>
      </c>
      <c r="K156" s="2"/>
      <c r="L156" s="2"/>
      <c r="M156" s="39">
        <f t="shared" si="26"/>
        <v>1171250.8867528709</v>
      </c>
      <c r="N156" s="39">
        <f t="shared" si="24"/>
        <v>3524613.5557566984</v>
      </c>
    </row>
    <row r="157" spans="1:14" x14ac:dyDescent="0.25">
      <c r="A157" s="3">
        <v>10</v>
      </c>
      <c r="B157" s="3" t="s">
        <v>89</v>
      </c>
      <c r="C157" s="54">
        <f t="shared" si="25"/>
        <v>0</v>
      </c>
      <c r="D157" s="29">
        <v>0</v>
      </c>
      <c r="E157" s="39">
        <v>0</v>
      </c>
      <c r="F157" s="2"/>
      <c r="G157" s="2"/>
      <c r="H157" s="39"/>
      <c r="I157" s="74">
        <f>C157+E157+G157</f>
        <v>0</v>
      </c>
      <c r="J157" s="75">
        <f>J156</f>
        <v>0.3</v>
      </c>
      <c r="K157" s="2"/>
      <c r="L157" s="2"/>
      <c r="M157" s="39">
        <f t="shared" si="26"/>
        <v>0</v>
      </c>
      <c r="N157" s="39">
        <f t="shared" si="24"/>
        <v>0</v>
      </c>
    </row>
    <row r="158" spans="1:14" x14ac:dyDescent="0.25">
      <c r="A158" s="56">
        <v>10.1</v>
      </c>
      <c r="B158" s="3" t="s">
        <v>88</v>
      </c>
      <c r="C158" s="54">
        <f t="shared" si="25"/>
        <v>281.75140408065403</v>
      </c>
      <c r="D158" s="29">
        <v>0</v>
      </c>
      <c r="E158" s="39">
        <v>0</v>
      </c>
      <c r="F158" s="2"/>
      <c r="G158" s="2"/>
      <c r="H158" s="39">
        <f>SUM(D158+G158)/2</f>
        <v>0</v>
      </c>
      <c r="I158" s="74">
        <f>C158+H158</f>
        <v>281.75140408065403</v>
      </c>
      <c r="J158" s="75">
        <v>0.3</v>
      </c>
      <c r="K158" s="2"/>
      <c r="L158" s="2"/>
      <c r="M158" s="39">
        <f t="shared" si="26"/>
        <v>84.525421224196208</v>
      </c>
      <c r="N158" s="39">
        <f t="shared" si="24"/>
        <v>197.22598285645782</v>
      </c>
    </row>
    <row r="159" spans="1:14" x14ac:dyDescent="0.25">
      <c r="A159" s="56">
        <v>10.1</v>
      </c>
      <c r="B159" s="3" t="s">
        <v>87</v>
      </c>
      <c r="C159" s="54">
        <f t="shared" si="25"/>
        <v>282.26159222747282</v>
      </c>
      <c r="D159" s="29">
        <v>0</v>
      </c>
      <c r="E159" s="39">
        <v>0</v>
      </c>
      <c r="F159" s="2"/>
      <c r="G159" s="2"/>
      <c r="H159" s="39">
        <f>SUM(D159+G159)/2</f>
        <v>0</v>
      </c>
      <c r="I159" s="74">
        <f>C159+H159</f>
        <v>282.26159222747282</v>
      </c>
      <c r="J159" s="75">
        <v>0.3</v>
      </c>
      <c r="K159" s="2"/>
      <c r="L159" s="2"/>
      <c r="M159" s="39">
        <f t="shared" si="26"/>
        <v>84.67847766824184</v>
      </c>
      <c r="N159" s="39">
        <f t="shared" si="24"/>
        <v>197.58311455923098</v>
      </c>
    </row>
    <row r="160" spans="1:14" x14ac:dyDescent="0.25">
      <c r="A160" s="56">
        <v>10.1</v>
      </c>
      <c r="B160" s="3" t="s">
        <v>86</v>
      </c>
      <c r="C160" s="54">
        <f t="shared" si="25"/>
        <v>408.36309584950686</v>
      </c>
      <c r="D160" s="29">
        <v>0</v>
      </c>
      <c r="E160" s="39">
        <v>0</v>
      </c>
      <c r="F160" s="2"/>
      <c r="G160" s="2"/>
      <c r="H160" s="39">
        <f>SUM(D160+G160)/2</f>
        <v>0</v>
      </c>
      <c r="I160" s="74">
        <f>C160+H160</f>
        <v>408.36309584950686</v>
      </c>
      <c r="J160" s="75">
        <v>0.3</v>
      </c>
      <c r="K160" s="2"/>
      <c r="L160" s="2"/>
      <c r="M160" s="39">
        <f t="shared" si="26"/>
        <v>122.50892875485205</v>
      </c>
      <c r="N160" s="39">
        <f t="shared" si="24"/>
        <v>285.85416709465483</v>
      </c>
    </row>
    <row r="161" spans="1:14" x14ac:dyDescent="0.25">
      <c r="A161" s="56">
        <v>10.1</v>
      </c>
      <c r="B161" s="3" t="s">
        <v>85</v>
      </c>
      <c r="C161" s="54">
        <f t="shared" si="25"/>
        <v>583.34143375923236</v>
      </c>
      <c r="D161" s="29">
        <v>0</v>
      </c>
      <c r="E161" s="39">
        <v>0</v>
      </c>
      <c r="F161" s="2"/>
      <c r="G161" s="2"/>
      <c r="H161" s="39">
        <f>SUM(D161+G161)/2</f>
        <v>0</v>
      </c>
      <c r="I161" s="74">
        <f>C161+H161</f>
        <v>583.34143375923236</v>
      </c>
      <c r="J161" s="75">
        <v>0.3</v>
      </c>
      <c r="K161" s="2"/>
      <c r="L161" s="2"/>
      <c r="M161" s="39">
        <f t="shared" si="26"/>
        <v>175.00243012776971</v>
      </c>
      <c r="N161" s="39">
        <f t="shared" si="24"/>
        <v>408.33900363146267</v>
      </c>
    </row>
    <row r="162" spans="1:14" x14ac:dyDescent="0.25">
      <c r="A162" s="56">
        <v>12</v>
      </c>
      <c r="B162" s="57" t="s">
        <v>84</v>
      </c>
      <c r="C162" s="54">
        <f t="shared" si="25"/>
        <v>1135356.0900000008</v>
      </c>
      <c r="D162" s="67">
        <f>'VRZ_CCA_w accel CCA'!E172</f>
        <v>1121831.71</v>
      </c>
      <c r="E162" s="29">
        <v>0</v>
      </c>
      <c r="F162" s="2"/>
      <c r="G162" s="2"/>
      <c r="H162" s="39">
        <f>SUM(D162+G162)/2</f>
        <v>560915.85499999998</v>
      </c>
      <c r="I162" s="74">
        <f>C162+H162</f>
        <v>1696271.9450000008</v>
      </c>
      <c r="J162" s="75">
        <v>1</v>
      </c>
      <c r="K162" s="2"/>
      <c r="L162" s="2"/>
      <c r="M162" s="39">
        <f t="shared" si="26"/>
        <v>1696271.9450000008</v>
      </c>
      <c r="N162" s="39">
        <f t="shared" si="24"/>
        <v>560915.85499999998</v>
      </c>
    </row>
    <row r="163" spans="1:14" x14ac:dyDescent="0.25">
      <c r="A163" s="56">
        <v>12</v>
      </c>
      <c r="B163" s="57" t="s">
        <v>83</v>
      </c>
      <c r="C163" s="39">
        <f t="shared" si="25"/>
        <v>0</v>
      </c>
      <c r="D163" s="29">
        <v>0</v>
      </c>
      <c r="E163" s="39">
        <v>0</v>
      </c>
      <c r="F163" s="2"/>
      <c r="G163" s="2"/>
      <c r="H163" s="74"/>
      <c r="I163" s="74">
        <f>C163+E163+G163</f>
        <v>0</v>
      </c>
      <c r="J163" s="75">
        <f>J162</f>
        <v>1</v>
      </c>
      <c r="K163" s="2"/>
      <c r="L163" s="2"/>
      <c r="M163" s="39">
        <f t="shared" si="26"/>
        <v>0</v>
      </c>
      <c r="N163" s="39">
        <f t="shared" si="24"/>
        <v>0</v>
      </c>
    </row>
    <row r="164" spans="1:14" x14ac:dyDescent="0.25">
      <c r="A164" s="56">
        <v>13</v>
      </c>
      <c r="B164" s="57" t="s">
        <v>82</v>
      </c>
      <c r="C164" s="54">
        <f t="shared" si="25"/>
        <v>29935.72314956662</v>
      </c>
      <c r="D164" s="29">
        <v>0</v>
      </c>
      <c r="E164" s="39"/>
      <c r="F164" s="2"/>
      <c r="G164" s="2"/>
      <c r="H164" s="74">
        <v>0</v>
      </c>
      <c r="I164" s="74">
        <f>C164+D164</f>
        <v>29935.72314956662</v>
      </c>
      <c r="J164" s="75">
        <v>0</v>
      </c>
      <c r="K164" s="2"/>
      <c r="L164" s="77"/>
      <c r="M164" s="74">
        <f>'VRZ_CCA_w accel CCA'!M173</f>
        <v>29936</v>
      </c>
      <c r="N164" s="39">
        <f t="shared" si="24"/>
        <v>-0.27685043337987736</v>
      </c>
    </row>
    <row r="165" spans="1:14" x14ac:dyDescent="0.25">
      <c r="A165" s="56">
        <v>42</v>
      </c>
      <c r="B165" s="56" t="s">
        <v>81</v>
      </c>
      <c r="C165" s="54">
        <f t="shared" si="25"/>
        <v>1483.5691234881638</v>
      </c>
      <c r="D165" s="29">
        <v>0</v>
      </c>
      <c r="E165" s="39">
        <v>0</v>
      </c>
      <c r="F165" s="2"/>
      <c r="G165" s="2"/>
      <c r="H165" s="74">
        <f>SUM(D165+G165)/2</f>
        <v>0</v>
      </c>
      <c r="I165" s="76">
        <f>C165+H165</f>
        <v>1483.5691234881638</v>
      </c>
      <c r="J165" s="75">
        <v>0.12</v>
      </c>
      <c r="K165" s="2"/>
      <c r="L165" s="2"/>
      <c r="M165" s="39">
        <f>I165*J165</f>
        <v>178.02829481857964</v>
      </c>
      <c r="N165" s="39">
        <f t="shared" si="24"/>
        <v>1305.5408286695842</v>
      </c>
    </row>
    <row r="166" spans="1:14" x14ac:dyDescent="0.25">
      <c r="A166" s="3">
        <v>45</v>
      </c>
      <c r="B166" s="3" t="s">
        <v>80</v>
      </c>
      <c r="C166" s="54">
        <f t="shared" si="25"/>
        <v>104.47558892574691</v>
      </c>
      <c r="D166" s="78">
        <v>0</v>
      </c>
      <c r="E166" s="39">
        <v>0</v>
      </c>
      <c r="F166" s="2"/>
      <c r="G166" s="2"/>
      <c r="H166" s="74">
        <f>SUM(D166+G166)/2</f>
        <v>0</v>
      </c>
      <c r="I166" s="2">
        <f>C166+H166</f>
        <v>104.47558892574691</v>
      </c>
      <c r="J166" s="75">
        <v>0.45</v>
      </c>
      <c r="K166" s="2"/>
      <c r="L166" s="2"/>
      <c r="M166" s="39">
        <f t="shared" ref="M166:M174" si="27">I166*J166</f>
        <v>47.014015016586107</v>
      </c>
      <c r="N166" s="39">
        <f t="shared" si="24"/>
        <v>57.461573909160798</v>
      </c>
    </row>
    <row r="167" spans="1:14" ht="15.75" x14ac:dyDescent="0.25">
      <c r="A167" s="56">
        <v>47</v>
      </c>
      <c r="B167" s="56" t="s">
        <v>79</v>
      </c>
      <c r="C167" s="54">
        <f t="shared" si="25"/>
        <v>141491387.67770499</v>
      </c>
      <c r="D167" s="67">
        <f>'VRZ_CCA_w accel CCA'!E177</f>
        <v>57379204.446000017</v>
      </c>
      <c r="E167" s="29">
        <v>0</v>
      </c>
      <c r="F167" s="2">
        <v>0</v>
      </c>
      <c r="G167" s="67">
        <f>'VRZ_CCA_w accel CCA'!G177</f>
        <v>-179041</v>
      </c>
      <c r="H167" s="74">
        <f>SUM(D167+G167)/2</f>
        <v>28600081.723000009</v>
      </c>
      <c r="I167" s="2">
        <f>C167+H167</f>
        <v>170091469.40070501</v>
      </c>
      <c r="J167" s="75">
        <v>0.08</v>
      </c>
      <c r="K167" s="2"/>
      <c r="L167" s="2"/>
      <c r="M167" s="39">
        <f t="shared" si="27"/>
        <v>13607317.552056402</v>
      </c>
      <c r="N167" s="39">
        <f t="shared" si="24"/>
        <v>185084233.57164863</v>
      </c>
    </row>
    <row r="168" spans="1:14" x14ac:dyDescent="0.25">
      <c r="A168" s="56">
        <v>47</v>
      </c>
      <c r="B168" s="56" t="s">
        <v>78</v>
      </c>
      <c r="C168" s="54">
        <f t="shared" si="25"/>
        <v>0</v>
      </c>
      <c r="D168" s="29">
        <v>0</v>
      </c>
      <c r="E168" s="39">
        <v>0</v>
      </c>
      <c r="F168" s="2"/>
      <c r="G168" s="2">
        <v>0</v>
      </c>
      <c r="H168" s="74">
        <v>0</v>
      </c>
      <c r="I168" s="2">
        <f>C168+E168+G168</f>
        <v>0</v>
      </c>
      <c r="J168" s="75">
        <f>J167</f>
        <v>0.08</v>
      </c>
      <c r="K168" s="2"/>
      <c r="L168" s="2"/>
      <c r="M168" s="39">
        <f t="shared" si="27"/>
        <v>0</v>
      </c>
      <c r="N168" s="39">
        <f t="shared" si="24"/>
        <v>0</v>
      </c>
    </row>
    <row r="169" spans="1:14" x14ac:dyDescent="0.25">
      <c r="A169" s="3">
        <v>50</v>
      </c>
      <c r="B169" s="3" t="s">
        <v>77</v>
      </c>
      <c r="C169" s="54">
        <f t="shared" si="25"/>
        <v>2099809.1709796544</v>
      </c>
      <c r="D169" s="29">
        <f>'VRZ_CCA_w accel CCA'!E179</f>
        <v>1796769.7600000007</v>
      </c>
      <c r="E169" s="39">
        <v>0</v>
      </c>
      <c r="F169" s="2">
        <v>0</v>
      </c>
      <c r="G169" s="2"/>
      <c r="H169" s="74">
        <f>SUM(D169+G169)/2</f>
        <v>898384.88000000035</v>
      </c>
      <c r="I169" s="74">
        <f>C169+H169+F169</f>
        <v>2998194.0509796548</v>
      </c>
      <c r="J169" s="75">
        <v>0.55000000000000004</v>
      </c>
      <c r="K169" s="2"/>
      <c r="L169" s="2"/>
      <c r="M169" s="39">
        <f t="shared" si="27"/>
        <v>1649006.7280388102</v>
      </c>
      <c r="N169" s="39">
        <f t="shared" si="24"/>
        <v>2247572.2029408449</v>
      </c>
    </row>
    <row r="170" spans="1:14" x14ac:dyDescent="0.25">
      <c r="A170" s="58">
        <v>50</v>
      </c>
      <c r="B170" s="3" t="s">
        <v>76</v>
      </c>
      <c r="C170" s="54">
        <f t="shared" si="25"/>
        <v>0</v>
      </c>
      <c r="D170" s="29">
        <v>0</v>
      </c>
      <c r="E170" s="39">
        <v>0</v>
      </c>
      <c r="F170" s="5"/>
      <c r="G170" s="5">
        <v>0</v>
      </c>
      <c r="H170" s="39"/>
      <c r="I170" s="2">
        <f>C170+E170+G170</f>
        <v>0</v>
      </c>
      <c r="J170" s="75">
        <f>J169</f>
        <v>0.55000000000000004</v>
      </c>
      <c r="K170" s="5"/>
      <c r="L170" s="5"/>
      <c r="M170" s="39">
        <f t="shared" si="27"/>
        <v>0</v>
      </c>
      <c r="N170" s="39">
        <f t="shared" si="24"/>
        <v>0</v>
      </c>
    </row>
    <row r="171" spans="1:14" x14ac:dyDescent="0.25">
      <c r="A171" s="59">
        <v>43.2</v>
      </c>
      <c r="B171" s="79" t="s">
        <v>75</v>
      </c>
      <c r="C171" s="54">
        <f t="shared" si="25"/>
        <v>42882.039755731224</v>
      </c>
      <c r="D171" s="29">
        <v>0</v>
      </c>
      <c r="E171" s="39">
        <v>0</v>
      </c>
      <c r="F171" s="5"/>
      <c r="G171" s="5"/>
      <c r="H171" s="39">
        <f>SUM(D171+G171)/2</f>
        <v>0</v>
      </c>
      <c r="I171" s="74">
        <f>C171+H171</f>
        <v>42882.039755731224</v>
      </c>
      <c r="J171" s="75">
        <v>0.5</v>
      </c>
      <c r="K171" s="5"/>
      <c r="L171" s="5"/>
      <c r="M171" s="39">
        <f t="shared" si="27"/>
        <v>21441.019877865612</v>
      </c>
      <c r="N171" s="39">
        <f t="shared" si="24"/>
        <v>21441.019877865612</v>
      </c>
    </row>
    <row r="172" spans="1:14" x14ac:dyDescent="0.25">
      <c r="A172" s="59">
        <v>14.1</v>
      </c>
      <c r="B172" s="79" t="s">
        <v>74</v>
      </c>
      <c r="C172" s="54">
        <f t="shared" si="25"/>
        <v>3103897.0378819578</v>
      </c>
      <c r="D172" s="67">
        <v>0</v>
      </c>
      <c r="E172" s="39">
        <v>0</v>
      </c>
      <c r="F172" s="5"/>
      <c r="G172" s="5"/>
      <c r="H172" s="39"/>
      <c r="I172" s="74">
        <f>C172</f>
        <v>3103897.0378819578</v>
      </c>
      <c r="J172" s="75">
        <v>7.0000000000000007E-2</v>
      </c>
      <c r="K172" s="5"/>
      <c r="L172" s="5"/>
      <c r="M172" s="39">
        <f t="shared" si="27"/>
        <v>217272.79265173708</v>
      </c>
      <c r="N172" s="39">
        <f t="shared" si="24"/>
        <v>2886624.2452302207</v>
      </c>
    </row>
    <row r="173" spans="1:14" x14ac:dyDescent="0.25">
      <c r="A173" s="59">
        <v>14.1</v>
      </c>
      <c r="B173" s="80" t="s">
        <v>73</v>
      </c>
      <c r="C173" s="54">
        <f t="shared" si="25"/>
        <v>4925436.0177898388</v>
      </c>
      <c r="D173" s="29">
        <f>'VRZ_CCA_w accel CCA'!E184</f>
        <v>0</v>
      </c>
      <c r="E173" s="39">
        <v>0</v>
      </c>
      <c r="F173" s="5"/>
      <c r="G173" s="5"/>
      <c r="H173" s="39">
        <f>SUM(D173+G173)/2</f>
        <v>0</v>
      </c>
      <c r="I173" s="74">
        <f>C173+H173</f>
        <v>4925436.0177898388</v>
      </c>
      <c r="J173" s="75">
        <v>0.05</v>
      </c>
      <c r="K173" s="5"/>
      <c r="L173" s="5"/>
      <c r="M173" s="39">
        <f t="shared" si="27"/>
        <v>246271.80088949195</v>
      </c>
      <c r="N173" s="39">
        <f t="shared" si="24"/>
        <v>4679164.2169003468</v>
      </c>
    </row>
    <row r="174" spans="1:14" ht="15.75" x14ac:dyDescent="0.25">
      <c r="A174" s="60">
        <v>95</v>
      </c>
      <c r="B174" s="60" t="s">
        <v>10</v>
      </c>
      <c r="C174" s="54">
        <f t="shared" si="25"/>
        <v>0</v>
      </c>
      <c r="D174" s="29">
        <f>'VRZ_CCA_w accel CCA'!E185</f>
        <v>0</v>
      </c>
      <c r="E174" s="39">
        <v>0</v>
      </c>
      <c r="F174" s="2">
        <v>0</v>
      </c>
      <c r="G174" s="81"/>
      <c r="H174" s="39">
        <v>0</v>
      </c>
      <c r="I174" s="39">
        <f>C174+D174+E174+F174</f>
        <v>0</v>
      </c>
      <c r="J174" s="75">
        <v>0</v>
      </c>
      <c r="K174" s="2"/>
      <c r="L174" s="2"/>
      <c r="M174" s="39">
        <f t="shared" si="27"/>
        <v>0</v>
      </c>
      <c r="N174" s="39">
        <f t="shared" si="24"/>
        <v>0</v>
      </c>
    </row>
    <row r="175" spans="1:14" ht="15.75" thickBot="1" x14ac:dyDescent="0.3">
      <c r="A175" s="61" t="s">
        <v>11</v>
      </c>
      <c r="B175" s="62"/>
      <c r="C175" s="63">
        <f>SUM(C151:C174)</f>
        <v>240070837.42798847</v>
      </c>
      <c r="D175" s="64">
        <f t="shared" ref="D175:I175" si="28">SUM(D151:D174)</f>
        <v>67210275.876000017</v>
      </c>
      <c r="E175" s="64">
        <f t="shared" si="28"/>
        <v>0</v>
      </c>
      <c r="F175" s="23">
        <f t="shared" si="28"/>
        <v>0</v>
      </c>
      <c r="G175" s="23">
        <f t="shared" si="28"/>
        <v>-372165</v>
      </c>
      <c r="H175" s="63">
        <f t="shared" si="28"/>
        <v>33419055.438000005</v>
      </c>
      <c r="I175" s="63">
        <f t="shared" si="28"/>
        <v>273489892.86598849</v>
      </c>
      <c r="J175" s="63" t="s">
        <v>0</v>
      </c>
      <c r="K175" s="63">
        <f>SUM(K151:K174)</f>
        <v>0</v>
      </c>
      <c r="L175" s="63">
        <f>SUM(L151:L174)</f>
        <v>0</v>
      </c>
      <c r="M175" s="63">
        <f>SUM(M151:M174)</f>
        <v>23045855.852137156</v>
      </c>
      <c r="N175" s="63">
        <f>SUM(N151:N174)</f>
        <v>283863092.45185131</v>
      </c>
    </row>
    <row r="176" spans="1:14" ht="15.75" thickTop="1" x14ac:dyDescent="0.25"/>
    <row r="177" spans="1:14" x14ac:dyDescent="0.25">
      <c r="A177" s="68">
        <v>2023</v>
      </c>
      <c r="B177" s="68" t="s">
        <v>128</v>
      </c>
    </row>
    <row r="178" spans="1:14" ht="30" x14ac:dyDescent="0.25">
      <c r="A178" s="53" t="s">
        <v>2</v>
      </c>
      <c r="B178" s="53" t="s">
        <v>3</v>
      </c>
      <c r="C178" s="53" t="s">
        <v>113</v>
      </c>
      <c r="D178" s="69" t="s">
        <v>117</v>
      </c>
      <c r="E178" s="69" t="s">
        <v>69</v>
      </c>
      <c r="F178" s="69" t="s">
        <v>4</v>
      </c>
      <c r="G178" s="69" t="s">
        <v>12</v>
      </c>
      <c r="H178" s="69" t="s">
        <v>5</v>
      </c>
      <c r="I178" s="69" t="s">
        <v>6</v>
      </c>
      <c r="J178" s="69" t="s">
        <v>57</v>
      </c>
      <c r="K178" s="69" t="s">
        <v>58</v>
      </c>
      <c r="L178" s="69" t="s">
        <v>7</v>
      </c>
      <c r="M178" s="69" t="s">
        <v>1</v>
      </c>
      <c r="N178" s="69" t="s">
        <v>8</v>
      </c>
    </row>
    <row r="179" spans="1:14" x14ac:dyDescent="0.25">
      <c r="A179" s="53"/>
      <c r="B179" s="53"/>
      <c r="C179" s="70"/>
      <c r="D179" s="28"/>
      <c r="E179" s="39"/>
      <c r="F179" s="1"/>
      <c r="G179" s="1"/>
      <c r="H179" s="1"/>
      <c r="I179" s="71"/>
      <c r="J179" s="72"/>
      <c r="K179" s="1"/>
      <c r="L179" s="1"/>
      <c r="M179" s="73"/>
      <c r="N179" s="73"/>
    </row>
    <row r="180" spans="1:14" x14ac:dyDescent="0.25">
      <c r="A180" s="3">
        <v>1</v>
      </c>
      <c r="B180" s="3" t="s">
        <v>94</v>
      </c>
      <c r="C180" s="54">
        <f>N151</f>
        <v>67923334.467072278</v>
      </c>
      <c r="D180" s="29">
        <v>0</v>
      </c>
      <c r="E180" s="39"/>
      <c r="F180" s="2"/>
      <c r="G180" s="2"/>
      <c r="H180" s="39">
        <f>SUM(D180+G180)/2</f>
        <v>0</v>
      </c>
      <c r="I180" s="74">
        <f>C180+H180</f>
        <v>67923334.467072278</v>
      </c>
      <c r="J180" s="75">
        <v>0.04</v>
      </c>
      <c r="K180" s="2"/>
      <c r="L180" s="2"/>
      <c r="M180" s="39">
        <f>I180*J180</f>
        <v>2716933.3786828914</v>
      </c>
      <c r="N180" s="39">
        <f t="shared" ref="N180:N205" si="29">H180+I180-M180</f>
        <v>65206401.088389389</v>
      </c>
    </row>
    <row r="181" spans="1:14" x14ac:dyDescent="0.25">
      <c r="A181" s="55" t="s">
        <v>92</v>
      </c>
      <c r="B181" s="3" t="s">
        <v>93</v>
      </c>
      <c r="C181" s="54">
        <f>N152</f>
        <v>12780702.300846189</v>
      </c>
      <c r="D181" s="29">
        <f>'VRZ_CCA_w accel CCA'!E193</f>
        <v>1176470.3000000021</v>
      </c>
      <c r="E181" s="39">
        <v>0</v>
      </c>
      <c r="F181" s="2" t="s">
        <v>0</v>
      </c>
      <c r="G181" s="2"/>
      <c r="H181" s="74">
        <f>SUM(D181+G181)/2</f>
        <v>588235.15000000107</v>
      </c>
      <c r="I181" s="2">
        <f>C181+H181</f>
        <v>13368937.45084619</v>
      </c>
      <c r="J181" s="75">
        <v>0.06</v>
      </c>
      <c r="K181" s="2"/>
      <c r="L181" s="2"/>
      <c r="M181" s="39">
        <f t="shared" ref="M181:M192" si="30">I181*J181</f>
        <v>802136.24705077137</v>
      </c>
      <c r="N181" s="39">
        <f t="shared" si="29"/>
        <v>13155036.353795419</v>
      </c>
    </row>
    <row r="182" spans="1:14" x14ac:dyDescent="0.25">
      <c r="A182" s="55" t="s">
        <v>92</v>
      </c>
      <c r="B182" s="3" t="s">
        <v>91</v>
      </c>
      <c r="C182" s="54">
        <f t="shared" ref="C182:C200" si="31">N153</f>
        <v>0</v>
      </c>
      <c r="D182" s="29">
        <v>0</v>
      </c>
      <c r="E182" s="39">
        <v>0</v>
      </c>
      <c r="F182" s="2"/>
      <c r="G182" s="2"/>
      <c r="H182" s="74">
        <f>SUM(D182+G182)/2</f>
        <v>0</v>
      </c>
      <c r="I182" s="74">
        <f>C182+E182+G182</f>
        <v>0</v>
      </c>
      <c r="J182" s="75">
        <f>J181*1.5</f>
        <v>0.09</v>
      </c>
      <c r="K182" s="2"/>
      <c r="L182" s="2"/>
      <c r="M182" s="39">
        <f t="shared" si="30"/>
        <v>0</v>
      </c>
      <c r="N182" s="39">
        <f t="shared" si="29"/>
        <v>0</v>
      </c>
    </row>
    <row r="183" spans="1:14" x14ac:dyDescent="0.25">
      <c r="A183" s="56">
        <v>8</v>
      </c>
      <c r="B183" s="56" t="s">
        <v>90</v>
      </c>
      <c r="C183" s="54">
        <f t="shared" si="31"/>
        <v>4152039.2887579761</v>
      </c>
      <c r="D183" s="67">
        <f>'VRZ_CCA_w accel CCA'!E195</f>
        <v>962809.58000000217</v>
      </c>
      <c r="E183" s="29">
        <v>0</v>
      </c>
      <c r="F183" s="2"/>
      <c r="G183" s="2"/>
      <c r="H183" s="74">
        <f>SUM(D183+G183)/2</f>
        <v>481404.79000000108</v>
      </c>
      <c r="I183" s="2">
        <f>C183+H183</f>
        <v>4633444.0787579771</v>
      </c>
      <c r="J183" s="75">
        <v>0.2</v>
      </c>
      <c r="K183" s="2"/>
      <c r="L183" s="2"/>
      <c r="M183" s="39">
        <f t="shared" si="30"/>
        <v>926688.81575159542</v>
      </c>
      <c r="N183" s="39">
        <f t="shared" si="29"/>
        <v>4188160.0530063827</v>
      </c>
    </row>
    <row r="184" spans="1:14" x14ac:dyDescent="0.25">
      <c r="A184" s="56">
        <v>8</v>
      </c>
      <c r="B184" s="56" t="s">
        <v>62</v>
      </c>
      <c r="C184" s="54">
        <f t="shared" si="31"/>
        <v>0</v>
      </c>
      <c r="D184" s="29">
        <v>0</v>
      </c>
      <c r="E184" s="39">
        <v>0</v>
      </c>
      <c r="F184" s="2"/>
      <c r="G184" s="2"/>
      <c r="H184" s="39"/>
      <c r="I184" s="74">
        <f>C184+E184+G184</f>
        <v>0</v>
      </c>
      <c r="J184" s="75">
        <f>J183*1.5</f>
        <v>0.30000000000000004</v>
      </c>
      <c r="K184" s="2"/>
      <c r="L184" s="2"/>
      <c r="M184" s="39">
        <f t="shared" si="30"/>
        <v>0</v>
      </c>
      <c r="N184" s="39">
        <f t="shared" si="29"/>
        <v>0</v>
      </c>
    </row>
    <row r="185" spans="1:14" x14ac:dyDescent="0.25">
      <c r="A185" s="3">
        <v>10</v>
      </c>
      <c r="B185" s="3" t="s">
        <v>9</v>
      </c>
      <c r="C185" s="54">
        <f t="shared" si="31"/>
        <v>3524613.5557566984</v>
      </c>
      <c r="D185" s="29">
        <f>'VRZ_CCA_w accel CCA'!E197</f>
        <v>1117831.2000000002</v>
      </c>
      <c r="E185" s="39">
        <v>0</v>
      </c>
      <c r="F185" s="2"/>
      <c r="G185" s="2">
        <f>'VRZ_CCA_w accel CCA'!G197</f>
        <v>-99036</v>
      </c>
      <c r="H185" s="74">
        <f>SUM(D185+G185)/2</f>
        <v>509397.60000000009</v>
      </c>
      <c r="I185" s="92">
        <f>C185+H185</f>
        <v>4034011.1557566985</v>
      </c>
      <c r="J185" s="75">
        <v>0.3</v>
      </c>
      <c r="K185" s="2"/>
      <c r="L185" s="2"/>
      <c r="M185" s="39">
        <f>I185*J185</f>
        <v>1210203.3467270094</v>
      </c>
      <c r="N185" s="39">
        <f>H185+I185-M185</f>
        <v>3333205.4090296892</v>
      </c>
    </row>
    <row r="186" spans="1:14" x14ac:dyDescent="0.25">
      <c r="A186" s="3">
        <v>10</v>
      </c>
      <c r="B186" s="3" t="s">
        <v>89</v>
      </c>
      <c r="C186" s="54">
        <f t="shared" si="31"/>
        <v>0</v>
      </c>
      <c r="D186" s="29">
        <v>0</v>
      </c>
      <c r="E186" s="39">
        <v>0</v>
      </c>
      <c r="F186" s="2"/>
      <c r="G186" s="2"/>
      <c r="H186" s="39"/>
      <c r="I186" s="74">
        <f>C186+E186+G186</f>
        <v>0</v>
      </c>
      <c r="J186" s="75">
        <f>J185</f>
        <v>0.3</v>
      </c>
      <c r="K186" s="2"/>
      <c r="L186" s="2"/>
      <c r="M186" s="39">
        <f t="shared" si="30"/>
        <v>0</v>
      </c>
      <c r="N186" s="39">
        <f t="shared" si="29"/>
        <v>0</v>
      </c>
    </row>
    <row r="187" spans="1:14" x14ac:dyDescent="0.25">
      <c r="A187" s="56">
        <v>10.1</v>
      </c>
      <c r="B187" s="3" t="s">
        <v>88</v>
      </c>
      <c r="C187" s="54">
        <f t="shared" si="31"/>
        <v>197.22598285645782</v>
      </c>
      <c r="D187" s="29">
        <v>0</v>
      </c>
      <c r="E187" s="39">
        <v>0</v>
      </c>
      <c r="F187" s="2"/>
      <c r="G187" s="2"/>
      <c r="H187" s="39">
        <f>SUM(D187+G187)/2</f>
        <v>0</v>
      </c>
      <c r="I187" s="74">
        <f>C187+H187</f>
        <v>197.22598285645782</v>
      </c>
      <c r="J187" s="75">
        <v>0.3</v>
      </c>
      <c r="K187" s="2"/>
      <c r="L187" s="2"/>
      <c r="M187" s="39">
        <f t="shared" si="30"/>
        <v>59.167794856937341</v>
      </c>
      <c r="N187" s="39">
        <f t="shared" si="29"/>
        <v>138.05818799952047</v>
      </c>
    </row>
    <row r="188" spans="1:14" x14ac:dyDescent="0.25">
      <c r="A188" s="56">
        <v>10.1</v>
      </c>
      <c r="B188" s="3" t="s">
        <v>87</v>
      </c>
      <c r="C188" s="54">
        <f t="shared" si="31"/>
        <v>197.58311455923098</v>
      </c>
      <c r="D188" s="29">
        <v>0</v>
      </c>
      <c r="E188" s="39">
        <v>0</v>
      </c>
      <c r="F188" s="2"/>
      <c r="G188" s="2"/>
      <c r="H188" s="39">
        <f>SUM(D188+G188)/2</f>
        <v>0</v>
      </c>
      <c r="I188" s="74">
        <f>C188+H188</f>
        <v>197.58311455923098</v>
      </c>
      <c r="J188" s="75">
        <v>0.3</v>
      </c>
      <c r="K188" s="2"/>
      <c r="L188" s="2"/>
      <c r="M188" s="39">
        <f t="shared" si="30"/>
        <v>59.274934367769291</v>
      </c>
      <c r="N188" s="39">
        <f t="shared" si="29"/>
        <v>138.3081801914617</v>
      </c>
    </row>
    <row r="189" spans="1:14" x14ac:dyDescent="0.25">
      <c r="A189" s="56">
        <v>10.1</v>
      </c>
      <c r="B189" s="3" t="s">
        <v>86</v>
      </c>
      <c r="C189" s="54">
        <f t="shared" si="31"/>
        <v>285.85416709465483</v>
      </c>
      <c r="D189" s="29">
        <v>0</v>
      </c>
      <c r="E189" s="39">
        <v>0</v>
      </c>
      <c r="F189" s="2"/>
      <c r="G189" s="2"/>
      <c r="H189" s="39">
        <f>SUM(D189+G189)/2</f>
        <v>0</v>
      </c>
      <c r="I189" s="74">
        <f>C189+H189</f>
        <v>285.85416709465483</v>
      </c>
      <c r="J189" s="75">
        <v>0.3</v>
      </c>
      <c r="K189" s="2"/>
      <c r="L189" s="2"/>
      <c r="M189" s="39">
        <f t="shared" si="30"/>
        <v>85.756250128396445</v>
      </c>
      <c r="N189" s="39">
        <f t="shared" si="29"/>
        <v>200.09791696625837</v>
      </c>
    </row>
    <row r="190" spans="1:14" x14ac:dyDescent="0.25">
      <c r="A190" s="56">
        <v>10.1</v>
      </c>
      <c r="B190" s="3" t="s">
        <v>85</v>
      </c>
      <c r="C190" s="54">
        <f t="shared" si="31"/>
        <v>408.33900363146267</v>
      </c>
      <c r="D190" s="29">
        <v>0</v>
      </c>
      <c r="E190" s="39">
        <v>0</v>
      </c>
      <c r="F190" s="2"/>
      <c r="G190" s="2"/>
      <c r="H190" s="39">
        <f>SUM(D190+G190)/2</f>
        <v>0</v>
      </c>
      <c r="I190" s="74">
        <f>C190+H190</f>
        <v>408.33900363146267</v>
      </c>
      <c r="J190" s="75">
        <v>0.3</v>
      </c>
      <c r="K190" s="2"/>
      <c r="L190" s="2"/>
      <c r="M190" s="39">
        <f t="shared" si="30"/>
        <v>122.5017010894388</v>
      </c>
      <c r="N190" s="39">
        <f t="shared" si="29"/>
        <v>285.83730254202385</v>
      </c>
    </row>
    <row r="191" spans="1:14" x14ac:dyDescent="0.25">
      <c r="A191" s="56">
        <v>12</v>
      </c>
      <c r="B191" s="57" t="s">
        <v>84</v>
      </c>
      <c r="C191" s="54">
        <f t="shared" si="31"/>
        <v>560915.85499999998</v>
      </c>
      <c r="D191" s="67">
        <f>'VRZ_CCA_w accel CCA'!E203</f>
        <v>1106808.6500000004</v>
      </c>
      <c r="E191" s="29">
        <v>0</v>
      </c>
      <c r="F191" s="2"/>
      <c r="G191" s="2"/>
      <c r="H191" s="39">
        <f>SUM(D191+G191)/2</f>
        <v>553404.32500000019</v>
      </c>
      <c r="I191" s="74">
        <f>C191+H191</f>
        <v>1114320.1800000002</v>
      </c>
      <c r="J191" s="75">
        <v>1</v>
      </c>
      <c r="K191" s="2"/>
      <c r="L191" s="2"/>
      <c r="M191" s="39">
        <f t="shared" si="30"/>
        <v>1114320.1800000002</v>
      </c>
      <c r="N191" s="39">
        <f t="shared" si="29"/>
        <v>553404.32500000019</v>
      </c>
    </row>
    <row r="192" spans="1:14" x14ac:dyDescent="0.25">
      <c r="A192" s="56">
        <v>12</v>
      </c>
      <c r="B192" s="57" t="s">
        <v>83</v>
      </c>
      <c r="C192" s="39">
        <f t="shared" si="31"/>
        <v>0</v>
      </c>
      <c r="D192" s="29">
        <v>0</v>
      </c>
      <c r="E192" s="39">
        <v>0</v>
      </c>
      <c r="F192" s="2"/>
      <c r="G192" s="2"/>
      <c r="H192" s="74"/>
      <c r="I192" s="74">
        <f>C192+E192+G192</f>
        <v>0</v>
      </c>
      <c r="J192" s="75">
        <f>J191</f>
        <v>1</v>
      </c>
      <c r="K192" s="2"/>
      <c r="L192" s="2"/>
      <c r="M192" s="39">
        <f t="shared" si="30"/>
        <v>0</v>
      </c>
      <c r="N192" s="39">
        <f t="shared" si="29"/>
        <v>0</v>
      </c>
    </row>
    <row r="193" spans="1:14" x14ac:dyDescent="0.25">
      <c r="A193" s="56">
        <v>13</v>
      </c>
      <c r="B193" s="57" t="s">
        <v>82</v>
      </c>
      <c r="C193" s="54">
        <f t="shared" si="31"/>
        <v>-0.27685043337987736</v>
      </c>
      <c r="D193" s="29">
        <v>0</v>
      </c>
      <c r="E193" s="39"/>
      <c r="F193" s="2"/>
      <c r="G193" s="2"/>
      <c r="H193" s="74">
        <v>0</v>
      </c>
      <c r="I193" s="74">
        <f>C193+D193</f>
        <v>-0.27685043337987736</v>
      </c>
      <c r="J193" s="75">
        <v>0</v>
      </c>
      <c r="K193" s="2"/>
      <c r="L193" s="77"/>
      <c r="M193" s="74">
        <f>I193/30*9</f>
        <v>-8.3055130013963197E-2</v>
      </c>
      <c r="N193" s="39">
        <f t="shared" si="29"/>
        <v>-0.19379530336591416</v>
      </c>
    </row>
    <row r="194" spans="1:14" x14ac:dyDescent="0.25">
      <c r="A194" s="56">
        <v>42</v>
      </c>
      <c r="B194" s="56" t="s">
        <v>81</v>
      </c>
      <c r="C194" s="54">
        <f t="shared" si="31"/>
        <v>1305.5408286695842</v>
      </c>
      <c r="D194" s="29">
        <v>0</v>
      </c>
      <c r="E194" s="39">
        <v>0</v>
      </c>
      <c r="F194" s="2"/>
      <c r="G194" s="2"/>
      <c r="H194" s="74">
        <f>SUM(D194+G194)/2</f>
        <v>0</v>
      </c>
      <c r="I194" s="76">
        <f>C194+H194</f>
        <v>1305.5408286695842</v>
      </c>
      <c r="J194" s="75">
        <v>0.12</v>
      </c>
      <c r="K194" s="2"/>
      <c r="L194" s="2"/>
      <c r="M194" s="39">
        <f>I194*J194</f>
        <v>156.6648994403501</v>
      </c>
      <c r="N194" s="39">
        <f t="shared" si="29"/>
        <v>1148.8759292292341</v>
      </c>
    </row>
    <row r="195" spans="1:14" x14ac:dyDescent="0.25">
      <c r="A195" s="3">
        <v>45</v>
      </c>
      <c r="B195" s="3" t="s">
        <v>80</v>
      </c>
      <c r="C195" s="54">
        <f t="shared" si="31"/>
        <v>57.461573909160798</v>
      </c>
      <c r="D195" s="78">
        <v>0</v>
      </c>
      <c r="E195" s="39">
        <v>0</v>
      </c>
      <c r="F195" s="2"/>
      <c r="G195" s="2"/>
      <c r="H195" s="74">
        <f>SUM(D195+G195)/2</f>
        <v>0</v>
      </c>
      <c r="I195" s="2">
        <f>C195+H195</f>
        <v>57.461573909160798</v>
      </c>
      <c r="J195" s="75">
        <v>0.45</v>
      </c>
      <c r="K195" s="2"/>
      <c r="L195" s="2"/>
      <c r="M195" s="39">
        <f t="shared" ref="M195:M205" si="32">I195*J195</f>
        <v>25.857708259122358</v>
      </c>
      <c r="N195" s="39">
        <f t="shared" si="29"/>
        <v>31.60386565003844</v>
      </c>
    </row>
    <row r="196" spans="1:14" ht="15.75" x14ac:dyDescent="0.25">
      <c r="A196" s="56">
        <v>47</v>
      </c>
      <c r="B196" s="56" t="s">
        <v>79</v>
      </c>
      <c r="C196" s="54">
        <f t="shared" si="31"/>
        <v>185084233.57164863</v>
      </c>
      <c r="D196" s="67">
        <f>'VRZ_CCA_w accel CCA'!E208</f>
        <v>25578503.461000014</v>
      </c>
      <c r="E196" s="29">
        <v>0</v>
      </c>
      <c r="F196" s="2">
        <v>0</v>
      </c>
      <c r="G196" s="67">
        <f>'VRZ_CCA_w accel CCA'!G208</f>
        <v>-391446</v>
      </c>
      <c r="H196" s="74">
        <f>SUM(D196+G196)/2</f>
        <v>12593528.730500007</v>
      </c>
      <c r="I196" s="2">
        <f>C196+H196</f>
        <v>197677762.30214864</v>
      </c>
      <c r="J196" s="75">
        <v>0.08</v>
      </c>
      <c r="K196" s="2"/>
      <c r="L196" s="2"/>
      <c r="M196" s="39">
        <f t="shared" si="32"/>
        <v>15814220.984171892</v>
      </c>
      <c r="N196" s="39">
        <f t="shared" si="29"/>
        <v>194457070.04847676</v>
      </c>
    </row>
    <row r="197" spans="1:14" x14ac:dyDescent="0.25">
      <c r="A197" s="56">
        <v>47</v>
      </c>
      <c r="B197" s="56" t="s">
        <v>78</v>
      </c>
      <c r="C197" s="54">
        <f t="shared" si="31"/>
        <v>0</v>
      </c>
      <c r="D197" s="29"/>
      <c r="E197" s="39">
        <v>0</v>
      </c>
      <c r="F197" s="2"/>
      <c r="G197" s="2">
        <v>0</v>
      </c>
      <c r="H197" s="74">
        <v>0</v>
      </c>
      <c r="I197" s="2">
        <f>C197+E197+G197</f>
        <v>0</v>
      </c>
      <c r="J197" s="75">
        <f>J196</f>
        <v>0.08</v>
      </c>
      <c r="K197" s="2"/>
      <c r="L197" s="2"/>
      <c r="M197" s="39">
        <f t="shared" si="32"/>
        <v>0</v>
      </c>
      <c r="N197" s="39">
        <f t="shared" si="29"/>
        <v>0</v>
      </c>
    </row>
    <row r="198" spans="1:14" x14ac:dyDescent="0.25">
      <c r="A198" s="3">
        <v>50</v>
      </c>
      <c r="B198" s="3" t="s">
        <v>77</v>
      </c>
      <c r="C198" s="54">
        <f t="shared" si="31"/>
        <v>2247572.2029408449</v>
      </c>
      <c r="D198" s="29">
        <f>'VRZ_CCA_w accel CCA'!E210</f>
        <v>1058651.9099999992</v>
      </c>
      <c r="E198" s="39">
        <v>0</v>
      </c>
      <c r="F198" s="2">
        <v>0</v>
      </c>
      <c r="G198" s="2"/>
      <c r="H198" s="74">
        <f>SUM(D198+G198)/2</f>
        <v>529325.95499999961</v>
      </c>
      <c r="I198" s="74">
        <f>C198+H198+F198</f>
        <v>2776898.1579408445</v>
      </c>
      <c r="J198" s="75">
        <v>0.55000000000000004</v>
      </c>
      <c r="K198" s="2"/>
      <c r="L198" s="2"/>
      <c r="M198" s="39">
        <f t="shared" si="32"/>
        <v>1527293.9868674646</v>
      </c>
      <c r="N198" s="39">
        <f>H198+I198-M198</f>
        <v>1778930.1260733795</v>
      </c>
    </row>
    <row r="199" spans="1:14" x14ac:dyDescent="0.25">
      <c r="A199" s="58">
        <v>50</v>
      </c>
      <c r="B199" s="3" t="s">
        <v>76</v>
      </c>
      <c r="C199" s="54">
        <f t="shared" si="31"/>
        <v>0</v>
      </c>
      <c r="D199" s="29">
        <v>0</v>
      </c>
      <c r="E199" s="39">
        <v>0</v>
      </c>
      <c r="F199" s="5"/>
      <c r="G199" s="5">
        <v>0</v>
      </c>
      <c r="H199" s="39"/>
      <c r="I199" s="2">
        <f>C199+E199+G199</f>
        <v>0</v>
      </c>
      <c r="J199" s="75">
        <f>J198</f>
        <v>0.55000000000000004</v>
      </c>
      <c r="K199" s="5"/>
      <c r="L199" s="5"/>
      <c r="M199" s="39">
        <f t="shared" si="32"/>
        <v>0</v>
      </c>
      <c r="N199" s="39">
        <f t="shared" si="29"/>
        <v>0</v>
      </c>
    </row>
    <row r="200" spans="1:14" x14ac:dyDescent="0.25">
      <c r="A200" s="59">
        <v>43.2</v>
      </c>
      <c r="B200" s="79" t="s">
        <v>75</v>
      </c>
      <c r="C200" s="54">
        <f t="shared" si="31"/>
        <v>21441.019877865612</v>
      </c>
      <c r="D200" s="29">
        <v>0</v>
      </c>
      <c r="E200" s="39">
        <v>0</v>
      </c>
      <c r="F200" s="5"/>
      <c r="G200" s="5"/>
      <c r="H200" s="74">
        <f>SUM(D200+G200)/2</f>
        <v>0</v>
      </c>
      <c r="I200" s="74">
        <f>C200+H200</f>
        <v>21441.019877865612</v>
      </c>
      <c r="J200" s="75">
        <v>0.5</v>
      </c>
      <c r="K200" s="5"/>
      <c r="L200" s="5"/>
      <c r="M200" s="39">
        <f t="shared" si="32"/>
        <v>10720.509938932806</v>
      </c>
      <c r="N200" s="39">
        <f>H200+I200-M200</f>
        <v>10720.509938932806</v>
      </c>
    </row>
    <row r="201" spans="1:14" x14ac:dyDescent="0.25">
      <c r="A201" s="59">
        <v>46</v>
      </c>
      <c r="B201" s="79" t="s">
        <v>134</v>
      </c>
      <c r="C201" s="54">
        <v>0</v>
      </c>
      <c r="D201" s="29">
        <f>'VRZ_CCA_w accel CCA'!E214</f>
        <v>308026.98</v>
      </c>
      <c r="E201" s="39">
        <v>0</v>
      </c>
      <c r="F201" s="2">
        <v>0</v>
      </c>
      <c r="G201" s="2"/>
      <c r="H201" s="74">
        <f>SUM(D201+G201)/2</f>
        <v>154013.49</v>
      </c>
      <c r="I201" s="74">
        <f>C201+H201+F201</f>
        <v>154013.49</v>
      </c>
      <c r="J201" s="75">
        <v>0.3</v>
      </c>
      <c r="K201" s="5"/>
      <c r="L201" s="5"/>
      <c r="M201" s="39">
        <f>I201*J201</f>
        <v>46204.046999999999</v>
      </c>
      <c r="N201" s="39">
        <f>H201+I201-M201</f>
        <v>261822.93299999999</v>
      </c>
    </row>
    <row r="202" spans="1:14" x14ac:dyDescent="0.25">
      <c r="A202" s="59">
        <v>46</v>
      </c>
      <c r="B202" s="79" t="s">
        <v>135</v>
      </c>
      <c r="C202" s="54">
        <v>0</v>
      </c>
      <c r="D202" s="29">
        <v>0</v>
      </c>
      <c r="E202" s="29">
        <v>0</v>
      </c>
      <c r="F202" s="39">
        <v>0</v>
      </c>
      <c r="G202" s="2"/>
      <c r="H202" s="2"/>
      <c r="I202" s="39"/>
      <c r="J202" s="75">
        <f>J201</f>
        <v>0.3</v>
      </c>
      <c r="K202" s="75"/>
      <c r="L202" s="2"/>
      <c r="M202" s="2"/>
      <c r="N202" s="39">
        <f>J202*K202</f>
        <v>0</v>
      </c>
    </row>
    <row r="203" spans="1:14" x14ac:dyDescent="0.25">
      <c r="A203" s="59">
        <v>14.1</v>
      </c>
      <c r="B203" s="79" t="s">
        <v>74</v>
      </c>
      <c r="C203" s="54">
        <f>N172</f>
        <v>2886624.2452302207</v>
      </c>
      <c r="D203" s="29">
        <v>0</v>
      </c>
      <c r="E203" s="39">
        <v>0</v>
      </c>
      <c r="F203" s="5"/>
      <c r="G203" s="5"/>
      <c r="H203" s="39"/>
      <c r="I203" s="74">
        <f>C203</f>
        <v>2886624.2452302207</v>
      </c>
      <c r="J203" s="75">
        <v>7.0000000000000007E-2</v>
      </c>
      <c r="K203" s="5"/>
      <c r="L203" s="5"/>
      <c r="M203" s="39">
        <f t="shared" si="32"/>
        <v>202063.69716611548</v>
      </c>
      <c r="N203" s="39">
        <f t="shared" si="29"/>
        <v>2684560.5480641052</v>
      </c>
    </row>
    <row r="204" spans="1:14" x14ac:dyDescent="0.25">
      <c r="A204" s="59">
        <v>14.1</v>
      </c>
      <c r="B204" s="80" t="s">
        <v>73</v>
      </c>
      <c r="C204" s="54">
        <f>N173</f>
        <v>4679164.2169003468</v>
      </c>
      <c r="D204" s="29">
        <f>'VRZ_CCA_w accel CCA'!E217</f>
        <v>310063.09999999905</v>
      </c>
      <c r="E204" s="39">
        <v>0</v>
      </c>
      <c r="F204" s="5"/>
      <c r="G204" s="5"/>
      <c r="H204" s="39">
        <f>SUM(D204+G204)/2</f>
        <v>155031.54999999952</v>
      </c>
      <c r="I204" s="74">
        <f>C204+H204</f>
        <v>4834195.7669003466</v>
      </c>
      <c r="J204" s="75">
        <v>0.05</v>
      </c>
      <c r="K204" s="5"/>
      <c r="L204" s="5"/>
      <c r="M204" s="39">
        <f t="shared" si="32"/>
        <v>241709.78834501735</v>
      </c>
      <c r="N204" s="39">
        <f t="shared" si="29"/>
        <v>4747517.528555329</v>
      </c>
    </row>
    <row r="205" spans="1:14" ht="15.75" x14ac:dyDescent="0.25">
      <c r="A205" s="60">
        <v>95</v>
      </c>
      <c r="B205" s="60" t="s">
        <v>10</v>
      </c>
      <c r="C205" s="54">
        <f>N174</f>
        <v>0</v>
      </c>
      <c r="D205" s="29">
        <v>0</v>
      </c>
      <c r="E205" s="39">
        <v>0</v>
      </c>
      <c r="F205" s="2">
        <v>0</v>
      </c>
      <c r="G205" s="81"/>
      <c r="H205" s="39">
        <v>0</v>
      </c>
      <c r="I205" s="39">
        <f>C205+D205+E205+F205</f>
        <v>0</v>
      </c>
      <c r="J205" s="75">
        <v>0</v>
      </c>
      <c r="K205" s="2"/>
      <c r="L205" s="2"/>
      <c r="M205" s="39">
        <f t="shared" si="32"/>
        <v>0</v>
      </c>
      <c r="N205" s="39">
        <f t="shared" si="29"/>
        <v>0</v>
      </c>
    </row>
    <row r="206" spans="1:14" ht="15.75" thickBot="1" x14ac:dyDescent="0.3">
      <c r="A206" s="61" t="s">
        <v>11</v>
      </c>
      <c r="B206" s="62"/>
      <c r="C206" s="63">
        <f>SUM(C180:C205)</f>
        <v>283863092.45185131</v>
      </c>
      <c r="D206" s="64">
        <f t="shared" ref="D206:I206" si="33">SUM(D180:D205)</f>
        <v>31619165.181000017</v>
      </c>
      <c r="E206" s="64">
        <f t="shared" si="33"/>
        <v>0</v>
      </c>
      <c r="F206" s="23">
        <f t="shared" si="33"/>
        <v>0</v>
      </c>
      <c r="G206" s="23">
        <f t="shared" si="33"/>
        <v>-490482</v>
      </c>
      <c r="H206" s="63">
        <f t="shared" si="33"/>
        <v>15564341.590500008</v>
      </c>
      <c r="I206" s="63">
        <f t="shared" si="33"/>
        <v>299427434.04235137</v>
      </c>
      <c r="J206" s="63" t="s">
        <v>0</v>
      </c>
      <c r="K206" s="63">
        <f>SUM(K180:K205)</f>
        <v>0</v>
      </c>
      <c r="L206" s="63">
        <f>SUM(L180:L205)</f>
        <v>0</v>
      </c>
      <c r="M206" s="63">
        <f>SUM(M180:M205)</f>
        <v>24613004.121934701</v>
      </c>
      <c r="N206" s="63">
        <f>SUM(N180:N205)</f>
        <v>290378771.51091671</v>
      </c>
    </row>
    <row r="207" spans="1:14" ht="15.75" thickTop="1" x14ac:dyDescent="0.25"/>
    <row r="208" spans="1:14" x14ac:dyDescent="0.25">
      <c r="A208" s="68">
        <v>2024</v>
      </c>
      <c r="B208" s="68" t="s">
        <v>144</v>
      </c>
    </row>
    <row r="209" spans="1:14" ht="30" x14ac:dyDescent="0.25">
      <c r="A209" s="53" t="s">
        <v>2</v>
      </c>
      <c r="B209" s="53" t="s">
        <v>3</v>
      </c>
      <c r="C209" s="53" t="s">
        <v>119</v>
      </c>
      <c r="D209" s="69" t="s">
        <v>120</v>
      </c>
      <c r="E209" s="69" t="s">
        <v>69</v>
      </c>
      <c r="F209" s="69" t="s">
        <v>4</v>
      </c>
      <c r="G209" s="69" t="s">
        <v>12</v>
      </c>
      <c r="H209" s="69" t="s">
        <v>5</v>
      </c>
      <c r="I209" s="69" t="s">
        <v>6</v>
      </c>
      <c r="J209" s="69" t="s">
        <v>57</v>
      </c>
      <c r="K209" s="69" t="s">
        <v>58</v>
      </c>
      <c r="L209" s="69" t="s">
        <v>7</v>
      </c>
      <c r="M209" s="69" t="s">
        <v>1</v>
      </c>
      <c r="N209" s="69" t="s">
        <v>8</v>
      </c>
    </row>
    <row r="210" spans="1:14" x14ac:dyDescent="0.25">
      <c r="A210" s="53"/>
      <c r="B210" s="53"/>
      <c r="C210" s="70"/>
      <c r="D210" s="28"/>
      <c r="E210" s="39"/>
      <c r="F210" s="1"/>
      <c r="G210" s="1"/>
      <c r="H210" s="1"/>
      <c r="I210" s="71"/>
      <c r="J210" s="72"/>
      <c r="K210" s="1"/>
      <c r="L210" s="1"/>
      <c r="M210" s="73"/>
      <c r="N210" s="73"/>
    </row>
    <row r="211" spans="1:14" x14ac:dyDescent="0.25">
      <c r="A211" s="3">
        <v>1</v>
      </c>
      <c r="B211" s="3" t="s">
        <v>94</v>
      </c>
      <c r="C211" s="54">
        <f t="shared" ref="C211:C231" si="34">N180</f>
        <v>65206401.088389389</v>
      </c>
      <c r="D211" s="29">
        <v>0</v>
      </c>
      <c r="E211" s="39"/>
      <c r="F211" s="2"/>
      <c r="G211" s="2"/>
      <c r="H211" s="39">
        <f>SUM(D211+G211)/2</f>
        <v>0</v>
      </c>
      <c r="I211" s="74">
        <f>C211+H211</f>
        <v>65206401.088389389</v>
      </c>
      <c r="J211" s="75">
        <v>0.04</v>
      </c>
      <c r="K211" s="2"/>
      <c r="L211" s="2"/>
      <c r="M211" s="39">
        <f>I211*J211</f>
        <v>2608256.0435355757</v>
      </c>
      <c r="N211" s="39">
        <f t="shared" ref="N211:N236" si="35">H211+I211-M211</f>
        <v>62598145.044853814</v>
      </c>
    </row>
    <row r="212" spans="1:14" x14ac:dyDescent="0.25">
      <c r="A212" s="55" t="s">
        <v>92</v>
      </c>
      <c r="B212" s="3" t="s">
        <v>93</v>
      </c>
      <c r="C212" s="54">
        <f t="shared" si="34"/>
        <v>13155036.353795419</v>
      </c>
      <c r="D212" s="29">
        <f>'VRZ_CCA_w accel CCA'!E226</f>
        <v>443794.03999999817</v>
      </c>
      <c r="E212" s="39">
        <v>0</v>
      </c>
      <c r="F212" s="2" t="s">
        <v>0</v>
      </c>
      <c r="G212" s="2"/>
      <c r="H212" s="74">
        <f>SUM(D212+G212)/2</f>
        <v>221897.01999999909</v>
      </c>
      <c r="I212" s="2">
        <f>C212+H212</f>
        <v>13376933.373795418</v>
      </c>
      <c r="J212" s="75">
        <v>0.06</v>
      </c>
      <c r="K212" s="2"/>
      <c r="L212" s="2"/>
      <c r="M212" s="39">
        <f t="shared" ref="M212:M223" si="36">I212*J212</f>
        <v>802616.002427725</v>
      </c>
      <c r="N212" s="39">
        <f t="shared" si="35"/>
        <v>12796214.391367693</v>
      </c>
    </row>
    <row r="213" spans="1:14" x14ac:dyDescent="0.25">
      <c r="A213" s="55" t="s">
        <v>92</v>
      </c>
      <c r="B213" s="3" t="s">
        <v>91</v>
      </c>
      <c r="C213" s="54">
        <f t="shared" si="34"/>
        <v>0</v>
      </c>
      <c r="D213" s="29">
        <v>0</v>
      </c>
      <c r="E213" s="39">
        <v>0</v>
      </c>
      <c r="F213" s="2"/>
      <c r="G213" s="2"/>
      <c r="H213" s="74">
        <f>SUM(D213+G213)/2</f>
        <v>0</v>
      </c>
      <c r="I213" s="74">
        <f>C213+E213+G213</f>
        <v>0</v>
      </c>
      <c r="J213" s="75">
        <f>J212</f>
        <v>0.06</v>
      </c>
      <c r="K213" s="2"/>
      <c r="L213" s="2"/>
      <c r="M213" s="39">
        <f t="shared" si="36"/>
        <v>0</v>
      </c>
      <c r="N213" s="39">
        <f t="shared" si="35"/>
        <v>0</v>
      </c>
    </row>
    <row r="214" spans="1:14" x14ac:dyDescent="0.25">
      <c r="A214" s="56">
        <v>8</v>
      </c>
      <c r="B214" s="56" t="s">
        <v>90</v>
      </c>
      <c r="C214" s="54">
        <f t="shared" si="34"/>
        <v>4188160.0530063827</v>
      </c>
      <c r="D214" s="67">
        <f>'VRZ_CCA_w accel CCA'!E228</f>
        <v>877793.55999999912</v>
      </c>
      <c r="E214" s="29">
        <v>0</v>
      </c>
      <c r="F214" s="2"/>
      <c r="G214" s="2"/>
      <c r="H214" s="74">
        <f>SUM(D214+G214)/2</f>
        <v>438896.77999999956</v>
      </c>
      <c r="I214" s="2">
        <f>C214+H214</f>
        <v>4627056.833006382</v>
      </c>
      <c r="J214" s="75">
        <v>0.2</v>
      </c>
      <c r="K214" s="2"/>
      <c r="L214" s="2"/>
      <c r="M214" s="39">
        <f t="shared" si="36"/>
        <v>925411.36660127644</v>
      </c>
      <c r="N214" s="39">
        <f t="shared" si="35"/>
        <v>4140542.2464051051</v>
      </c>
    </row>
    <row r="215" spans="1:14" x14ac:dyDescent="0.25">
      <c r="A215" s="56">
        <v>8</v>
      </c>
      <c r="B215" s="56" t="s">
        <v>62</v>
      </c>
      <c r="C215" s="54">
        <f t="shared" si="34"/>
        <v>0</v>
      </c>
      <c r="D215" s="29">
        <v>0</v>
      </c>
      <c r="E215" s="39">
        <v>0</v>
      </c>
      <c r="F215" s="2"/>
      <c r="G215" s="2"/>
      <c r="H215" s="39"/>
      <c r="I215" s="74">
        <f>C215+E215+G215</f>
        <v>0</v>
      </c>
      <c r="J215" s="75">
        <f>J214</f>
        <v>0.2</v>
      </c>
      <c r="K215" s="2"/>
      <c r="L215" s="2"/>
      <c r="M215" s="39">
        <f t="shared" si="36"/>
        <v>0</v>
      </c>
      <c r="N215" s="39">
        <f t="shared" si="35"/>
        <v>0</v>
      </c>
    </row>
    <row r="216" spans="1:14" x14ac:dyDescent="0.25">
      <c r="A216" s="3">
        <v>10</v>
      </c>
      <c r="B216" s="3" t="s">
        <v>9</v>
      </c>
      <c r="C216" s="54">
        <f t="shared" si="34"/>
        <v>3333205.4090296892</v>
      </c>
      <c r="D216" s="29">
        <f>'VRZ_CCA_w accel CCA'!E230</f>
        <v>665420.9300000004</v>
      </c>
      <c r="E216" s="39">
        <v>0</v>
      </c>
      <c r="F216" s="2"/>
      <c r="G216" s="2">
        <f>'VRZ_CCA_w accel CCA'!G230</f>
        <v>-44476.1</v>
      </c>
      <c r="H216" s="74">
        <f>SUM(D216+G216)/2</f>
        <v>310472.41500000021</v>
      </c>
      <c r="I216" s="92">
        <f>C216+H216+G216</f>
        <v>3599201.7240296891</v>
      </c>
      <c r="J216" s="75">
        <v>0.3</v>
      </c>
      <c r="K216" s="2"/>
      <c r="L216" s="2"/>
      <c r="M216" s="39">
        <f t="shared" si="36"/>
        <v>1079760.5172089066</v>
      </c>
      <c r="N216" s="39">
        <f t="shared" si="35"/>
        <v>2829913.6218207823</v>
      </c>
    </row>
    <row r="217" spans="1:14" x14ac:dyDescent="0.25">
      <c r="A217" s="3">
        <v>10</v>
      </c>
      <c r="B217" s="3" t="s">
        <v>89</v>
      </c>
      <c r="C217" s="54">
        <f t="shared" si="34"/>
        <v>0</v>
      </c>
      <c r="D217" s="29">
        <v>0</v>
      </c>
      <c r="E217" s="39">
        <v>0</v>
      </c>
      <c r="F217" s="2"/>
      <c r="G217" s="2"/>
      <c r="H217" s="39"/>
      <c r="I217" s="74">
        <f>C217+E217+G217</f>
        <v>0</v>
      </c>
      <c r="J217" s="75">
        <f>J216</f>
        <v>0.3</v>
      </c>
      <c r="K217" s="2"/>
      <c r="L217" s="2"/>
      <c r="M217" s="39">
        <f t="shared" si="36"/>
        <v>0</v>
      </c>
      <c r="N217" s="39">
        <f t="shared" si="35"/>
        <v>0</v>
      </c>
    </row>
    <row r="218" spans="1:14" x14ac:dyDescent="0.25">
      <c r="A218" s="56">
        <v>10.1</v>
      </c>
      <c r="B218" s="3" t="s">
        <v>88</v>
      </c>
      <c r="C218" s="54">
        <f t="shared" si="34"/>
        <v>138.05818799952047</v>
      </c>
      <c r="D218" s="29">
        <v>0</v>
      </c>
      <c r="E218" s="39">
        <v>0</v>
      </c>
      <c r="F218" s="2"/>
      <c r="G218" s="2"/>
      <c r="H218" s="39">
        <f>SUM(D218+G218)/2</f>
        <v>0</v>
      </c>
      <c r="I218" s="74">
        <f>C218+H218</f>
        <v>138.05818799952047</v>
      </c>
      <c r="J218" s="75">
        <v>0.3</v>
      </c>
      <c r="K218" s="2"/>
      <c r="L218" s="2"/>
      <c r="M218" s="39">
        <f t="shared" si="36"/>
        <v>41.417456399856142</v>
      </c>
      <c r="N218" s="39">
        <f t="shared" si="35"/>
        <v>96.640731599664321</v>
      </c>
    </row>
    <row r="219" spans="1:14" x14ac:dyDescent="0.25">
      <c r="A219" s="56">
        <v>10.1</v>
      </c>
      <c r="B219" s="3" t="s">
        <v>87</v>
      </c>
      <c r="C219" s="54">
        <f t="shared" si="34"/>
        <v>138.3081801914617</v>
      </c>
      <c r="D219" s="29">
        <v>0</v>
      </c>
      <c r="E219" s="39">
        <v>0</v>
      </c>
      <c r="F219" s="2"/>
      <c r="G219" s="2"/>
      <c r="H219" s="39">
        <f>SUM(D219+G219)/2</f>
        <v>0</v>
      </c>
      <c r="I219" s="74">
        <f>C219+H219</f>
        <v>138.3081801914617</v>
      </c>
      <c r="J219" s="75">
        <v>0.3</v>
      </c>
      <c r="K219" s="2"/>
      <c r="L219" s="2"/>
      <c r="M219" s="39">
        <f t="shared" si="36"/>
        <v>41.492454057438508</v>
      </c>
      <c r="N219" s="39">
        <f t="shared" si="35"/>
        <v>96.815726134023194</v>
      </c>
    </row>
    <row r="220" spans="1:14" x14ac:dyDescent="0.25">
      <c r="A220" s="56">
        <v>10.1</v>
      </c>
      <c r="B220" s="3" t="s">
        <v>86</v>
      </c>
      <c r="C220" s="54">
        <f t="shared" si="34"/>
        <v>200.09791696625837</v>
      </c>
      <c r="D220" s="29">
        <v>0</v>
      </c>
      <c r="E220" s="39">
        <v>0</v>
      </c>
      <c r="F220" s="2"/>
      <c r="G220" s="2"/>
      <c r="H220" s="39">
        <f>SUM(D220+G220)/2</f>
        <v>0</v>
      </c>
      <c r="I220" s="74">
        <f>C220+H220</f>
        <v>200.09791696625837</v>
      </c>
      <c r="J220" s="75">
        <v>0.3</v>
      </c>
      <c r="K220" s="2"/>
      <c r="L220" s="2"/>
      <c r="M220" s="39">
        <f t="shared" si="36"/>
        <v>60.029375089877504</v>
      </c>
      <c r="N220" s="39">
        <f t="shared" si="35"/>
        <v>140.06854187638086</v>
      </c>
    </row>
    <row r="221" spans="1:14" x14ac:dyDescent="0.25">
      <c r="A221" s="56">
        <v>10.1</v>
      </c>
      <c r="B221" s="3" t="s">
        <v>85</v>
      </c>
      <c r="C221" s="54">
        <f t="shared" si="34"/>
        <v>285.83730254202385</v>
      </c>
      <c r="D221" s="29">
        <v>0</v>
      </c>
      <c r="E221" s="39">
        <v>0</v>
      </c>
      <c r="F221" s="2"/>
      <c r="G221" s="2"/>
      <c r="H221" s="39">
        <f>SUM(D221+G221)/2</f>
        <v>0</v>
      </c>
      <c r="I221" s="74">
        <f>C221+H221</f>
        <v>285.83730254202385</v>
      </c>
      <c r="J221" s="75">
        <v>0.3</v>
      </c>
      <c r="K221" s="2"/>
      <c r="L221" s="2"/>
      <c r="M221" s="39">
        <f t="shared" si="36"/>
        <v>85.751190762607152</v>
      </c>
      <c r="N221" s="39">
        <f t="shared" si="35"/>
        <v>200.08611177941668</v>
      </c>
    </row>
    <row r="222" spans="1:14" x14ac:dyDescent="0.25">
      <c r="A222" s="56">
        <v>12</v>
      </c>
      <c r="B222" s="57" t="s">
        <v>84</v>
      </c>
      <c r="C222" s="54">
        <f t="shared" si="34"/>
        <v>553404.32500000019</v>
      </c>
      <c r="D222" s="67">
        <f>'VRZ_CCA_w accel CCA'!E236</f>
        <v>935183.97999999858</v>
      </c>
      <c r="E222" s="29">
        <v>0</v>
      </c>
      <c r="F222" s="2"/>
      <c r="G222" s="2"/>
      <c r="H222" s="39">
        <f>SUM(D222+G222)/2</f>
        <v>467591.98999999929</v>
      </c>
      <c r="I222" s="74">
        <f>C222+H222</f>
        <v>1020996.3149999995</v>
      </c>
      <c r="J222" s="75">
        <v>1</v>
      </c>
      <c r="K222" s="2"/>
      <c r="L222" s="2"/>
      <c r="M222" s="39">
        <f t="shared" si="36"/>
        <v>1020996.3149999995</v>
      </c>
      <c r="N222" s="39">
        <f t="shared" si="35"/>
        <v>467591.98999999929</v>
      </c>
    </row>
    <row r="223" spans="1:14" x14ac:dyDescent="0.25">
      <c r="A223" s="56">
        <v>12</v>
      </c>
      <c r="B223" s="57" t="s">
        <v>83</v>
      </c>
      <c r="C223" s="39">
        <f t="shared" si="34"/>
        <v>0</v>
      </c>
      <c r="D223" s="29">
        <v>0</v>
      </c>
      <c r="E223" s="39">
        <v>0</v>
      </c>
      <c r="F223" s="2"/>
      <c r="G223" s="2"/>
      <c r="H223" s="74"/>
      <c r="I223" s="74">
        <f>C223+E223+G223</f>
        <v>0</v>
      </c>
      <c r="J223" s="75">
        <f>J222</f>
        <v>1</v>
      </c>
      <c r="K223" s="2"/>
      <c r="L223" s="2"/>
      <c r="M223" s="39">
        <f t="shared" si="36"/>
        <v>0</v>
      </c>
      <c r="N223" s="39">
        <f t="shared" si="35"/>
        <v>0</v>
      </c>
    </row>
    <row r="224" spans="1:14" x14ac:dyDescent="0.25">
      <c r="A224" s="56">
        <v>13</v>
      </c>
      <c r="B224" s="57" t="s">
        <v>82</v>
      </c>
      <c r="C224" s="54">
        <f t="shared" si="34"/>
        <v>-0.19379530336591416</v>
      </c>
      <c r="D224" s="29">
        <v>0</v>
      </c>
      <c r="E224" s="39"/>
      <c r="F224" s="2"/>
      <c r="G224" s="2"/>
      <c r="H224" s="74">
        <v>0</v>
      </c>
      <c r="I224" s="74">
        <f>C224+D224</f>
        <v>-0.19379530336591416</v>
      </c>
      <c r="J224" s="75">
        <v>0</v>
      </c>
      <c r="K224" s="2"/>
      <c r="L224" s="77"/>
      <c r="M224" s="74">
        <f>I224/30*9</f>
        <v>-5.8138591009774247E-2</v>
      </c>
      <c r="N224" s="39">
        <f t="shared" si="35"/>
        <v>-0.13565671235613991</v>
      </c>
    </row>
    <row r="225" spans="1:14" x14ac:dyDescent="0.25">
      <c r="A225" s="56">
        <v>42</v>
      </c>
      <c r="B225" s="56" t="s">
        <v>81</v>
      </c>
      <c r="C225" s="54">
        <f t="shared" si="34"/>
        <v>1148.8759292292341</v>
      </c>
      <c r="D225" s="29">
        <v>0</v>
      </c>
      <c r="E225" s="39">
        <v>0</v>
      </c>
      <c r="F225" s="2"/>
      <c r="G225" s="2"/>
      <c r="H225" s="74">
        <f>SUM(D225+G225)/2</f>
        <v>0</v>
      </c>
      <c r="I225" s="76">
        <f>C225+H225</f>
        <v>1148.8759292292341</v>
      </c>
      <c r="J225" s="75">
        <v>0.12</v>
      </c>
      <c r="K225" s="2"/>
      <c r="L225" s="2"/>
      <c r="M225" s="39">
        <f>I225*J225</f>
        <v>137.86511150750809</v>
      </c>
      <c r="N225" s="39">
        <f t="shared" si="35"/>
        <v>1011.010817721726</v>
      </c>
    </row>
    <row r="226" spans="1:14" x14ac:dyDescent="0.25">
      <c r="A226" s="3">
        <v>45</v>
      </c>
      <c r="B226" s="3" t="s">
        <v>80</v>
      </c>
      <c r="C226" s="54">
        <f t="shared" si="34"/>
        <v>31.60386565003844</v>
      </c>
      <c r="D226" s="78">
        <v>0</v>
      </c>
      <c r="E226" s="39">
        <v>0</v>
      </c>
      <c r="F226" s="2"/>
      <c r="G226" s="2"/>
      <c r="H226" s="74">
        <f>SUM(D226+G226)/2</f>
        <v>0</v>
      </c>
      <c r="I226" s="2">
        <f>C226+H226</f>
        <v>31.60386565003844</v>
      </c>
      <c r="J226" s="75">
        <v>0.45</v>
      </c>
      <c r="K226" s="2"/>
      <c r="L226" s="2"/>
      <c r="M226" s="39">
        <f t="shared" ref="M226:M236" si="37">I226*J226</f>
        <v>14.221739542517298</v>
      </c>
      <c r="N226" s="39">
        <f t="shared" si="35"/>
        <v>17.382126107521142</v>
      </c>
    </row>
    <row r="227" spans="1:14" ht="15.75" x14ac:dyDescent="0.25">
      <c r="A227" s="56">
        <v>47</v>
      </c>
      <c r="B227" s="56" t="s">
        <v>79</v>
      </c>
      <c r="C227" s="54">
        <f t="shared" si="34"/>
        <v>194457070.04847676</v>
      </c>
      <c r="D227" s="67">
        <f>'VRZ_CCA_w accel CCA'!E241</f>
        <v>17903381.602000006</v>
      </c>
      <c r="E227" s="29">
        <v>0</v>
      </c>
      <c r="F227" s="2">
        <v>0</v>
      </c>
      <c r="G227" s="67">
        <f>'VRZ_CCA_w accel CCA'!G241</f>
        <v>-271941</v>
      </c>
      <c r="H227" s="74">
        <f>SUM(D227+G227)/2</f>
        <v>8815720.3010000028</v>
      </c>
      <c r="I227" s="39">
        <f>C227+H227+G227</f>
        <v>203000849.34947675</v>
      </c>
      <c r="J227" s="75">
        <v>0.08</v>
      </c>
      <c r="K227" s="2"/>
      <c r="L227" s="2"/>
      <c r="M227" s="39">
        <f t="shared" si="37"/>
        <v>16240067.947958142</v>
      </c>
      <c r="N227" s="39">
        <f t="shared" si="35"/>
        <v>195576501.70251861</v>
      </c>
    </row>
    <row r="228" spans="1:14" x14ac:dyDescent="0.25">
      <c r="A228" s="56">
        <v>47</v>
      </c>
      <c r="B228" s="56" t="s">
        <v>78</v>
      </c>
      <c r="C228" s="54">
        <f t="shared" si="34"/>
        <v>0</v>
      </c>
      <c r="D228" s="29"/>
      <c r="E228" s="39">
        <v>0</v>
      </c>
      <c r="F228" s="2"/>
      <c r="G228" s="2">
        <v>0</v>
      </c>
      <c r="H228" s="74">
        <v>0</v>
      </c>
      <c r="I228" s="2">
        <f>C228+E228+G228</f>
        <v>0</v>
      </c>
      <c r="J228" s="75">
        <f>J227</f>
        <v>0.08</v>
      </c>
      <c r="K228" s="2"/>
      <c r="L228" s="2"/>
      <c r="M228" s="39">
        <f t="shared" si="37"/>
        <v>0</v>
      </c>
      <c r="N228" s="39">
        <f t="shared" si="35"/>
        <v>0</v>
      </c>
    </row>
    <row r="229" spans="1:14" x14ac:dyDescent="0.25">
      <c r="A229" s="3">
        <v>50</v>
      </c>
      <c r="B229" s="3" t="s">
        <v>77</v>
      </c>
      <c r="C229" s="54">
        <f t="shared" si="34"/>
        <v>1778930.1260733795</v>
      </c>
      <c r="D229" s="29">
        <f>'VRZ_CCA_w accel CCA'!E243</f>
        <v>2056192.9699999997</v>
      </c>
      <c r="E229" s="39">
        <v>0</v>
      </c>
      <c r="F229" s="2">
        <v>0</v>
      </c>
      <c r="G229" s="2"/>
      <c r="H229" s="74">
        <f>SUM(D229+G229)/2</f>
        <v>1028096.4849999999</v>
      </c>
      <c r="I229" s="74">
        <f>C229+H229+F229</f>
        <v>2807026.6110733794</v>
      </c>
      <c r="J229" s="75">
        <v>0.55000000000000004</v>
      </c>
      <c r="K229" s="2"/>
      <c r="L229" s="2"/>
      <c r="M229" s="39">
        <f t="shared" si="37"/>
        <v>1543864.6360903587</v>
      </c>
      <c r="N229" s="39">
        <f t="shared" si="35"/>
        <v>2291258.4599830206</v>
      </c>
    </row>
    <row r="230" spans="1:14" x14ac:dyDescent="0.25">
      <c r="A230" s="58">
        <v>50</v>
      </c>
      <c r="B230" s="3" t="s">
        <v>76</v>
      </c>
      <c r="C230" s="54">
        <f t="shared" si="34"/>
        <v>0</v>
      </c>
      <c r="D230" s="29">
        <v>0</v>
      </c>
      <c r="E230" s="39">
        <v>0</v>
      </c>
      <c r="F230" s="5"/>
      <c r="G230" s="5">
        <v>0</v>
      </c>
      <c r="H230" s="39"/>
      <c r="I230" s="2">
        <f>C230+E230+G230</f>
        <v>0</v>
      </c>
      <c r="J230" s="75">
        <f>J229</f>
        <v>0.55000000000000004</v>
      </c>
      <c r="K230" s="5"/>
      <c r="L230" s="5"/>
      <c r="M230" s="39">
        <f t="shared" si="37"/>
        <v>0</v>
      </c>
      <c r="N230" s="39">
        <f t="shared" si="35"/>
        <v>0</v>
      </c>
    </row>
    <row r="231" spans="1:14" x14ac:dyDescent="0.25">
      <c r="A231" s="59">
        <v>43.2</v>
      </c>
      <c r="B231" s="79" t="s">
        <v>75</v>
      </c>
      <c r="C231" s="54">
        <f t="shared" si="34"/>
        <v>10720.509938932806</v>
      </c>
      <c r="D231" s="29">
        <v>0</v>
      </c>
      <c r="E231" s="39">
        <v>0</v>
      </c>
      <c r="F231" s="5"/>
      <c r="G231" s="5"/>
      <c r="H231" s="39">
        <f>SUM(D231+G231)/2</f>
        <v>0</v>
      </c>
      <c r="I231" s="74">
        <f>C231+H231</f>
        <v>10720.509938932806</v>
      </c>
      <c r="J231" s="75">
        <v>0.5</v>
      </c>
      <c r="K231" s="5"/>
      <c r="L231" s="5"/>
      <c r="M231" s="39">
        <f t="shared" si="37"/>
        <v>5360.2549694664031</v>
      </c>
      <c r="N231" s="39">
        <f t="shared" si="35"/>
        <v>5360.2549694664031</v>
      </c>
    </row>
    <row r="232" spans="1:14" x14ac:dyDescent="0.25">
      <c r="A232" s="59">
        <v>46</v>
      </c>
      <c r="B232" s="79" t="s">
        <v>134</v>
      </c>
      <c r="C232" s="54">
        <f>N201</f>
        <v>261822.93299999999</v>
      </c>
      <c r="D232" s="29">
        <f>'VRZ_CCA_w accel CCA'!E247</f>
        <v>0</v>
      </c>
      <c r="E232" s="39">
        <v>0</v>
      </c>
      <c r="F232" s="2">
        <v>0</v>
      </c>
      <c r="G232" s="2"/>
      <c r="H232" s="74">
        <f>SUM(D232+G232)/2</f>
        <v>0</v>
      </c>
      <c r="I232" s="74">
        <f>C232+H232+F232</f>
        <v>261822.93299999999</v>
      </c>
      <c r="J232" s="75">
        <v>0.3</v>
      </c>
      <c r="K232" s="5"/>
      <c r="L232" s="5"/>
      <c r="M232" s="39">
        <f>I232*J232</f>
        <v>78546.8799</v>
      </c>
      <c r="N232" s="39">
        <f>H232+I232-M232</f>
        <v>183276.05309999999</v>
      </c>
    </row>
    <row r="233" spans="1:14" x14ac:dyDescent="0.25">
      <c r="A233" s="59">
        <v>46</v>
      </c>
      <c r="B233" s="79" t="s">
        <v>135</v>
      </c>
      <c r="C233" s="54">
        <v>0</v>
      </c>
      <c r="D233" s="29">
        <v>0</v>
      </c>
      <c r="E233" s="29">
        <v>0</v>
      </c>
      <c r="F233" s="39">
        <v>0</v>
      </c>
      <c r="G233" s="2"/>
      <c r="H233" s="2"/>
      <c r="I233" s="39"/>
      <c r="J233" s="75">
        <f>J232*1.5</f>
        <v>0.44999999999999996</v>
      </c>
      <c r="K233" s="75"/>
      <c r="L233" s="2"/>
      <c r="M233" s="2"/>
      <c r="N233" s="39">
        <f>J233*K233</f>
        <v>0</v>
      </c>
    </row>
    <row r="234" spans="1:14" x14ac:dyDescent="0.25">
      <c r="A234" s="59">
        <v>14.1</v>
      </c>
      <c r="B234" s="79" t="s">
        <v>74</v>
      </c>
      <c r="C234" s="54">
        <f>N203</f>
        <v>2684560.5480641052</v>
      </c>
      <c r="D234" s="29">
        <v>0</v>
      </c>
      <c r="E234" s="39">
        <v>0</v>
      </c>
      <c r="F234" s="5"/>
      <c r="G234" s="5"/>
      <c r="H234" s="39"/>
      <c r="I234" s="74">
        <f>C234</f>
        <v>2684560.5480641052</v>
      </c>
      <c r="J234" s="75">
        <v>7.0000000000000007E-2</v>
      </c>
      <c r="K234" s="5"/>
      <c r="L234" s="5"/>
      <c r="M234" s="39">
        <f t="shared" si="37"/>
        <v>187919.23836448739</v>
      </c>
      <c r="N234" s="39">
        <f t="shared" si="35"/>
        <v>2496641.3096996178</v>
      </c>
    </row>
    <row r="235" spans="1:14" x14ac:dyDescent="0.25">
      <c r="A235" s="59">
        <v>14.1</v>
      </c>
      <c r="B235" s="80" t="s">
        <v>73</v>
      </c>
      <c r="C235" s="54">
        <f>N204</f>
        <v>4747517.528555329</v>
      </c>
      <c r="D235" s="29">
        <f>'VRZ_CCA_w accel CCA'!E250</f>
        <v>0</v>
      </c>
      <c r="E235" s="39">
        <v>0</v>
      </c>
      <c r="F235" s="5"/>
      <c r="G235" s="5"/>
      <c r="H235" s="39">
        <f>SUM(D235+G235)/2</f>
        <v>0</v>
      </c>
      <c r="I235" s="74">
        <f>C235+H235</f>
        <v>4747517.528555329</v>
      </c>
      <c r="J235" s="75">
        <v>0.05</v>
      </c>
      <c r="K235" s="5"/>
      <c r="L235" s="5"/>
      <c r="M235" s="39">
        <f t="shared" si="37"/>
        <v>237375.87642776646</v>
      </c>
      <c r="N235" s="39">
        <f t="shared" si="35"/>
        <v>4510141.6521275621</v>
      </c>
    </row>
    <row r="236" spans="1:14" ht="15.75" x14ac:dyDescent="0.25">
      <c r="A236" s="60">
        <v>95</v>
      </c>
      <c r="B236" s="60" t="s">
        <v>10</v>
      </c>
      <c r="C236" s="54">
        <f>N205</f>
        <v>0</v>
      </c>
      <c r="D236" s="29">
        <v>0</v>
      </c>
      <c r="E236" s="39">
        <v>0</v>
      </c>
      <c r="F236" s="2">
        <v>0</v>
      </c>
      <c r="G236" s="81"/>
      <c r="H236" s="39">
        <v>0</v>
      </c>
      <c r="I236" s="39">
        <f>C236+D236+E236+F236</f>
        <v>0</v>
      </c>
      <c r="J236" s="75">
        <v>0</v>
      </c>
      <c r="K236" s="2"/>
      <c r="L236" s="2"/>
      <c r="M236" s="39">
        <f t="shared" si="37"/>
        <v>0</v>
      </c>
      <c r="N236" s="39">
        <f t="shared" si="35"/>
        <v>0</v>
      </c>
    </row>
    <row r="237" spans="1:14" ht="15.75" thickBot="1" x14ac:dyDescent="0.3">
      <c r="A237" s="61" t="s">
        <v>11</v>
      </c>
      <c r="B237" s="62"/>
      <c r="C237" s="63">
        <f>SUM(C211:C236)</f>
        <v>290378771.51091671</v>
      </c>
      <c r="D237" s="64">
        <f t="shared" ref="D237:I237" si="38">SUM(D211:D236)</f>
        <v>22881767.082000002</v>
      </c>
      <c r="E237" s="64">
        <f t="shared" si="38"/>
        <v>0</v>
      </c>
      <c r="F237" s="23">
        <f t="shared" si="38"/>
        <v>0</v>
      </c>
      <c r="G237" s="23">
        <f t="shared" si="38"/>
        <v>-316417.09999999998</v>
      </c>
      <c r="H237" s="63">
        <f t="shared" si="38"/>
        <v>11282674.991</v>
      </c>
      <c r="I237" s="63">
        <f t="shared" si="38"/>
        <v>301345029.40191674</v>
      </c>
      <c r="J237" s="63" t="s">
        <v>0</v>
      </c>
      <c r="K237" s="63">
        <f>SUM(K211:K236)</f>
        <v>0</v>
      </c>
      <c r="L237" s="63">
        <f>SUM(L211:L236)</f>
        <v>0</v>
      </c>
      <c r="M237" s="63">
        <f>SUM(M211:M236)</f>
        <v>24730555.797672473</v>
      </c>
      <c r="N237" s="63">
        <f>SUM(N211:N236)</f>
        <v>287897148.59524411</v>
      </c>
    </row>
    <row r="238" spans="1:14" ht="15.75" thickTop="1" x14ac:dyDescent="0.25">
      <c r="L238" s="67" t="s">
        <v>0</v>
      </c>
      <c r="M238" s="67" t="s">
        <v>0</v>
      </c>
    </row>
    <row r="239" spans="1:14" x14ac:dyDescent="0.25">
      <c r="A239" s="68">
        <v>2025</v>
      </c>
      <c r="B239" s="68" t="s">
        <v>118</v>
      </c>
      <c r="M239" s="67" t="s">
        <v>0</v>
      </c>
    </row>
    <row r="240" spans="1:14" ht="30" x14ac:dyDescent="0.25">
      <c r="A240" s="53" t="s">
        <v>2</v>
      </c>
      <c r="B240" s="53" t="s">
        <v>3</v>
      </c>
      <c r="C240" s="53" t="s">
        <v>121</v>
      </c>
      <c r="D240" s="69" t="s">
        <v>124</v>
      </c>
      <c r="E240" s="69" t="s">
        <v>69</v>
      </c>
      <c r="F240" s="69" t="s">
        <v>4</v>
      </c>
      <c r="G240" s="69" t="s">
        <v>12</v>
      </c>
      <c r="H240" s="69" t="s">
        <v>5</v>
      </c>
      <c r="I240" s="69" t="s">
        <v>6</v>
      </c>
      <c r="J240" s="69" t="s">
        <v>57</v>
      </c>
      <c r="K240" s="69" t="s">
        <v>58</v>
      </c>
      <c r="L240" s="69" t="s">
        <v>7</v>
      </c>
      <c r="M240" s="69" t="s">
        <v>1</v>
      </c>
      <c r="N240" s="69" t="s">
        <v>8</v>
      </c>
    </row>
    <row r="241" spans="1:14" x14ac:dyDescent="0.25">
      <c r="A241" s="53"/>
      <c r="B241" s="53"/>
      <c r="C241" s="70"/>
      <c r="D241" s="28"/>
      <c r="E241" s="39"/>
      <c r="F241" s="1"/>
      <c r="G241" s="1"/>
      <c r="H241" s="1"/>
      <c r="I241" s="71"/>
      <c r="J241" s="72"/>
      <c r="K241" s="1"/>
      <c r="L241" s="1"/>
      <c r="M241" s="73"/>
      <c r="N241" s="73"/>
    </row>
    <row r="242" spans="1:14" x14ac:dyDescent="0.25">
      <c r="A242" s="3">
        <v>1</v>
      </c>
      <c r="B242" s="3" t="s">
        <v>94</v>
      </c>
      <c r="C242" s="54">
        <f t="shared" ref="C242:C262" si="39">N211</f>
        <v>62598145.044853814</v>
      </c>
      <c r="D242" s="29">
        <v>0</v>
      </c>
      <c r="E242" s="39"/>
      <c r="F242" s="2"/>
      <c r="G242" s="2"/>
      <c r="H242" s="39">
        <f>SUM(D242+G242)/2</f>
        <v>0</v>
      </c>
      <c r="I242" s="74">
        <f>C242+H242</f>
        <v>62598145.044853814</v>
      </c>
      <c r="J242" s="75">
        <v>0.04</v>
      </c>
      <c r="K242" s="2"/>
      <c r="L242" s="2"/>
      <c r="M242" s="39">
        <f>I242*J242</f>
        <v>2503925.8017941527</v>
      </c>
      <c r="N242" s="39">
        <f t="shared" ref="N242:N267" si="40">H242+I242-M242</f>
        <v>60094219.243059665</v>
      </c>
    </row>
    <row r="243" spans="1:14" x14ac:dyDescent="0.25">
      <c r="A243" s="55" t="s">
        <v>92</v>
      </c>
      <c r="B243" s="3" t="s">
        <v>93</v>
      </c>
      <c r="C243" s="54">
        <f t="shared" si="39"/>
        <v>12796214.391367693</v>
      </c>
      <c r="D243" s="29">
        <f>'VRZ_CCA_w accel CCA'!E259</f>
        <v>383175.45000000112</v>
      </c>
      <c r="E243" s="39">
        <v>0</v>
      </c>
      <c r="F243" s="2" t="s">
        <v>0</v>
      </c>
      <c r="G243" s="2"/>
      <c r="H243" s="74">
        <f>SUM(D243+G243)/2</f>
        <v>191587.72500000056</v>
      </c>
      <c r="I243" s="2">
        <f>C243+H243</f>
        <v>12987802.116367694</v>
      </c>
      <c r="J243" s="75">
        <v>0.06</v>
      </c>
      <c r="K243" s="2"/>
      <c r="L243" s="2"/>
      <c r="M243" s="39">
        <f t="shared" ref="M243:M254" si="41">I243*J243</f>
        <v>779268.12698206166</v>
      </c>
      <c r="N243" s="39">
        <f t="shared" si="40"/>
        <v>12400121.714385634</v>
      </c>
    </row>
    <row r="244" spans="1:14" x14ac:dyDescent="0.25">
      <c r="A244" s="55" t="s">
        <v>92</v>
      </c>
      <c r="B244" s="3" t="s">
        <v>91</v>
      </c>
      <c r="C244" s="54">
        <f t="shared" si="39"/>
        <v>0</v>
      </c>
      <c r="D244" s="29">
        <v>0</v>
      </c>
      <c r="E244" s="39">
        <v>0</v>
      </c>
      <c r="F244" s="2"/>
      <c r="G244" s="2"/>
      <c r="H244" s="74">
        <f>SUM(D244+G244)/2</f>
        <v>0</v>
      </c>
      <c r="I244" s="74">
        <f>C244+E244+G244</f>
        <v>0</v>
      </c>
      <c r="J244" s="75">
        <f>J243</f>
        <v>0.06</v>
      </c>
      <c r="K244" s="2"/>
      <c r="L244" s="2"/>
      <c r="M244" s="39">
        <f t="shared" si="41"/>
        <v>0</v>
      </c>
      <c r="N244" s="39">
        <f t="shared" si="40"/>
        <v>0</v>
      </c>
    </row>
    <row r="245" spans="1:14" x14ac:dyDescent="0.25">
      <c r="A245" s="56">
        <v>8</v>
      </c>
      <c r="B245" s="56" t="s">
        <v>90</v>
      </c>
      <c r="C245" s="54">
        <f t="shared" si="39"/>
        <v>4140542.2464051051</v>
      </c>
      <c r="D245" s="67">
        <f>'VRZ_CCA_w accel CCA'!E261</f>
        <v>1857227.2499999988</v>
      </c>
      <c r="E245" s="29">
        <v>0</v>
      </c>
      <c r="F245" s="2"/>
      <c r="G245" s="2"/>
      <c r="H245" s="74">
        <f>SUM(D245+G245)/2</f>
        <v>928613.62499999942</v>
      </c>
      <c r="I245" s="2">
        <f>C245+H245</f>
        <v>5069155.8714051042</v>
      </c>
      <c r="J245" s="75">
        <v>0.2</v>
      </c>
      <c r="K245" s="2"/>
      <c r="L245" s="2"/>
      <c r="M245" s="39">
        <f t="shared" si="41"/>
        <v>1013831.1742810209</v>
      </c>
      <c r="N245" s="39">
        <f t="shared" si="40"/>
        <v>4983938.3221240826</v>
      </c>
    </row>
    <row r="246" spans="1:14" x14ac:dyDescent="0.25">
      <c r="A246" s="56">
        <v>8</v>
      </c>
      <c r="B246" s="56" t="s">
        <v>62</v>
      </c>
      <c r="C246" s="54">
        <f t="shared" si="39"/>
        <v>0</v>
      </c>
      <c r="D246" s="29">
        <v>0</v>
      </c>
      <c r="E246" s="39">
        <v>0</v>
      </c>
      <c r="F246" s="2"/>
      <c r="G246" s="2"/>
      <c r="H246" s="39"/>
      <c r="I246" s="74">
        <f>C246+E246+G246</f>
        <v>0</v>
      </c>
      <c r="J246" s="75">
        <f>J245</f>
        <v>0.2</v>
      </c>
      <c r="K246" s="2"/>
      <c r="L246" s="2"/>
      <c r="M246" s="39">
        <f t="shared" si="41"/>
        <v>0</v>
      </c>
      <c r="N246" s="39">
        <f t="shared" si="40"/>
        <v>0</v>
      </c>
    </row>
    <row r="247" spans="1:14" x14ac:dyDescent="0.25">
      <c r="A247" s="3">
        <v>10</v>
      </c>
      <c r="B247" s="3" t="s">
        <v>9</v>
      </c>
      <c r="C247" s="54">
        <f t="shared" si="39"/>
        <v>2829913.6218207823</v>
      </c>
      <c r="D247" s="29">
        <f>'VRZ_CCA_w accel CCA'!E263</f>
        <v>1934467.6500000006</v>
      </c>
      <c r="E247" s="39">
        <v>0</v>
      </c>
      <c r="F247" s="2"/>
      <c r="G247" s="2">
        <f>'VRZ_CCA_w accel CCA'!G263</f>
        <v>-26549</v>
      </c>
      <c r="H247" s="74">
        <f>SUM(D247+G247)/2</f>
        <v>953959.3250000003</v>
      </c>
      <c r="I247" s="74">
        <f>C247+H247</f>
        <v>3783872.9468207825</v>
      </c>
      <c r="J247" s="75">
        <v>0.3</v>
      </c>
      <c r="K247" s="2"/>
      <c r="L247" s="2"/>
      <c r="M247" s="39">
        <f t="shared" si="41"/>
        <v>1135161.8840462347</v>
      </c>
      <c r="N247" s="39">
        <f t="shared" si="40"/>
        <v>3602670.387774548</v>
      </c>
    </row>
    <row r="248" spans="1:14" x14ac:dyDescent="0.25">
      <c r="A248" s="3">
        <v>10</v>
      </c>
      <c r="B248" s="3" t="s">
        <v>89</v>
      </c>
      <c r="C248" s="54">
        <f t="shared" si="39"/>
        <v>0</v>
      </c>
      <c r="D248" s="29">
        <v>0</v>
      </c>
      <c r="E248" s="39">
        <v>0</v>
      </c>
      <c r="F248" s="2"/>
      <c r="G248" s="2"/>
      <c r="H248" s="39"/>
      <c r="I248" s="74">
        <f>C248+E248+G248</f>
        <v>0</v>
      </c>
      <c r="J248" s="75">
        <f>J247</f>
        <v>0.3</v>
      </c>
      <c r="K248" s="2"/>
      <c r="L248" s="2"/>
      <c r="M248" s="39">
        <f t="shared" si="41"/>
        <v>0</v>
      </c>
      <c r="N248" s="39">
        <f t="shared" si="40"/>
        <v>0</v>
      </c>
    </row>
    <row r="249" spans="1:14" x14ac:dyDescent="0.25">
      <c r="A249" s="56">
        <v>10.1</v>
      </c>
      <c r="B249" s="3" t="s">
        <v>88</v>
      </c>
      <c r="C249" s="54">
        <f t="shared" si="39"/>
        <v>96.640731599664321</v>
      </c>
      <c r="D249" s="29">
        <v>0</v>
      </c>
      <c r="E249" s="39">
        <v>0</v>
      </c>
      <c r="F249" s="2"/>
      <c r="G249" s="2"/>
      <c r="H249" s="39">
        <f>SUM(D249+G249)/2</f>
        <v>0</v>
      </c>
      <c r="I249" s="74">
        <f>C249+H249</f>
        <v>96.640731599664321</v>
      </c>
      <c r="J249" s="75">
        <v>0.3</v>
      </c>
      <c r="K249" s="2"/>
      <c r="L249" s="2"/>
      <c r="M249" s="39">
        <f t="shared" si="41"/>
        <v>28.992219479899294</v>
      </c>
      <c r="N249" s="39">
        <f t="shared" si="40"/>
        <v>67.64851211976503</v>
      </c>
    </row>
    <row r="250" spans="1:14" x14ac:dyDescent="0.25">
      <c r="A250" s="56">
        <v>10.1</v>
      </c>
      <c r="B250" s="3" t="s">
        <v>87</v>
      </c>
      <c r="C250" s="54">
        <f t="shared" si="39"/>
        <v>96.815726134023194</v>
      </c>
      <c r="D250" s="29">
        <v>0</v>
      </c>
      <c r="E250" s="39">
        <v>0</v>
      </c>
      <c r="F250" s="2"/>
      <c r="G250" s="2"/>
      <c r="H250" s="39">
        <f>SUM(D250+G250)/2</f>
        <v>0</v>
      </c>
      <c r="I250" s="74">
        <f>C250+H250</f>
        <v>96.815726134023194</v>
      </c>
      <c r="J250" s="75">
        <v>0.3</v>
      </c>
      <c r="K250" s="2"/>
      <c r="L250" s="2"/>
      <c r="M250" s="39">
        <f t="shared" si="41"/>
        <v>29.044717840206957</v>
      </c>
      <c r="N250" s="39">
        <f t="shared" si="40"/>
        <v>67.771008293816237</v>
      </c>
    </row>
    <row r="251" spans="1:14" x14ac:dyDescent="0.25">
      <c r="A251" s="56">
        <v>10.1</v>
      </c>
      <c r="B251" s="3" t="s">
        <v>86</v>
      </c>
      <c r="C251" s="54">
        <f t="shared" si="39"/>
        <v>140.06854187638086</v>
      </c>
      <c r="D251" s="29">
        <v>0</v>
      </c>
      <c r="E251" s="39">
        <v>0</v>
      </c>
      <c r="F251" s="2"/>
      <c r="G251" s="2"/>
      <c r="H251" s="39">
        <f>SUM(D251+G251)/2</f>
        <v>0</v>
      </c>
      <c r="I251" s="74">
        <f>C251+H251</f>
        <v>140.06854187638086</v>
      </c>
      <c r="J251" s="75">
        <v>0.3</v>
      </c>
      <c r="K251" s="2"/>
      <c r="L251" s="2"/>
      <c r="M251" s="39">
        <f t="shared" si="41"/>
        <v>42.020562562914257</v>
      </c>
      <c r="N251" s="39">
        <f t="shared" si="40"/>
        <v>98.047979313466612</v>
      </c>
    </row>
    <row r="252" spans="1:14" x14ac:dyDescent="0.25">
      <c r="A252" s="56">
        <v>10.1</v>
      </c>
      <c r="B252" s="3" t="s">
        <v>85</v>
      </c>
      <c r="C252" s="54">
        <f t="shared" si="39"/>
        <v>200.08611177941668</v>
      </c>
      <c r="D252" s="29">
        <v>0</v>
      </c>
      <c r="E252" s="39">
        <v>0</v>
      </c>
      <c r="F252" s="2"/>
      <c r="G252" s="2"/>
      <c r="H252" s="39">
        <f>SUM(D252+G252)/2</f>
        <v>0</v>
      </c>
      <c r="I252" s="74">
        <f>C252+H252</f>
        <v>200.08611177941668</v>
      </c>
      <c r="J252" s="75">
        <v>0.3</v>
      </c>
      <c r="K252" s="2"/>
      <c r="L252" s="2"/>
      <c r="M252" s="39">
        <f t="shared" si="41"/>
        <v>60.025833533825001</v>
      </c>
      <c r="N252" s="39">
        <f t="shared" si="40"/>
        <v>140.06027824559169</v>
      </c>
    </row>
    <row r="253" spans="1:14" x14ac:dyDescent="0.25">
      <c r="A253" s="56">
        <v>12</v>
      </c>
      <c r="B253" s="57" t="s">
        <v>84</v>
      </c>
      <c r="C253" s="54">
        <f t="shared" si="39"/>
        <v>467591.98999999929</v>
      </c>
      <c r="D253" s="67">
        <f>'VRZ_CCA_w accel CCA'!E269</f>
        <v>1210879.2000000011</v>
      </c>
      <c r="E253" s="29">
        <v>0</v>
      </c>
      <c r="F253" s="2"/>
      <c r="G253" s="2"/>
      <c r="H253" s="39">
        <f>SUM(D253+G253)/2</f>
        <v>605439.60000000056</v>
      </c>
      <c r="I253" s="74">
        <f>C253+H253</f>
        <v>1073031.5899999999</v>
      </c>
      <c r="J253" s="75">
        <v>1</v>
      </c>
      <c r="K253" s="2"/>
      <c r="L253" s="2"/>
      <c r="M253" s="39">
        <f t="shared" si="41"/>
        <v>1073031.5899999999</v>
      </c>
      <c r="N253" s="39">
        <f t="shared" si="40"/>
        <v>605439.60000000056</v>
      </c>
    </row>
    <row r="254" spans="1:14" x14ac:dyDescent="0.25">
      <c r="A254" s="56">
        <v>12</v>
      </c>
      <c r="B254" s="57" t="s">
        <v>83</v>
      </c>
      <c r="C254" s="39">
        <f t="shared" si="39"/>
        <v>0</v>
      </c>
      <c r="D254" s="29">
        <v>0</v>
      </c>
      <c r="E254" s="39">
        <v>0</v>
      </c>
      <c r="F254" s="2"/>
      <c r="G254" s="2"/>
      <c r="H254" s="74"/>
      <c r="I254" s="74">
        <f>C254+E254+G254</f>
        <v>0</v>
      </c>
      <c r="J254" s="75">
        <f>J253</f>
        <v>1</v>
      </c>
      <c r="K254" s="2"/>
      <c r="L254" s="2"/>
      <c r="M254" s="39">
        <f t="shared" si="41"/>
        <v>0</v>
      </c>
      <c r="N254" s="39">
        <f t="shared" si="40"/>
        <v>0</v>
      </c>
    </row>
    <row r="255" spans="1:14" x14ac:dyDescent="0.25">
      <c r="A255" s="56">
        <v>13</v>
      </c>
      <c r="B255" s="57" t="s">
        <v>82</v>
      </c>
      <c r="C255" s="54">
        <f t="shared" si="39"/>
        <v>-0.13565671235613991</v>
      </c>
      <c r="D255" s="29">
        <v>0</v>
      </c>
      <c r="E255" s="39"/>
      <c r="F255" s="2"/>
      <c r="G255" s="2"/>
      <c r="H255" s="74">
        <v>0</v>
      </c>
      <c r="I255" s="74">
        <f>C255+D255</f>
        <v>-0.13565671235613991</v>
      </c>
      <c r="J255" s="75">
        <v>0</v>
      </c>
      <c r="K255" s="2"/>
      <c r="L255" s="77"/>
      <c r="M255" s="74">
        <f>I255/30*9</f>
        <v>-4.0697013706841971E-2</v>
      </c>
      <c r="N255" s="39">
        <f t="shared" si="40"/>
        <v>-9.495969864929793E-2</v>
      </c>
    </row>
    <row r="256" spans="1:14" x14ac:dyDescent="0.25">
      <c r="A256" s="56">
        <v>42</v>
      </c>
      <c r="B256" s="56" t="s">
        <v>81</v>
      </c>
      <c r="C256" s="54">
        <f t="shared" si="39"/>
        <v>1011.010817721726</v>
      </c>
      <c r="D256" s="29">
        <v>0</v>
      </c>
      <c r="E256" s="39">
        <v>0</v>
      </c>
      <c r="F256" s="2"/>
      <c r="G256" s="2"/>
      <c r="H256" s="74">
        <f>SUM(D256+G256)/2</f>
        <v>0</v>
      </c>
      <c r="I256" s="76">
        <f>C256+H256</f>
        <v>1011.010817721726</v>
      </c>
      <c r="J256" s="75">
        <v>0.12</v>
      </c>
      <c r="K256" s="2"/>
      <c r="L256" s="2"/>
      <c r="M256" s="39">
        <f>I256*J256</f>
        <v>121.32129812660712</v>
      </c>
      <c r="N256" s="39">
        <f t="shared" si="40"/>
        <v>889.6895195951189</v>
      </c>
    </row>
    <row r="257" spans="1:14" x14ac:dyDescent="0.25">
      <c r="A257" s="3">
        <v>45</v>
      </c>
      <c r="B257" s="3" t="s">
        <v>80</v>
      </c>
      <c r="C257" s="54">
        <f t="shared" si="39"/>
        <v>17.382126107521142</v>
      </c>
      <c r="D257" s="78">
        <v>0</v>
      </c>
      <c r="E257" s="39">
        <v>0</v>
      </c>
      <c r="F257" s="2"/>
      <c r="G257" s="2"/>
      <c r="H257" s="74">
        <f>SUM(D257+G257)/2</f>
        <v>0</v>
      </c>
      <c r="I257" s="2">
        <f>C257+H257</f>
        <v>17.382126107521142</v>
      </c>
      <c r="J257" s="75">
        <v>0.45</v>
      </c>
      <c r="K257" s="2"/>
      <c r="L257" s="2"/>
      <c r="M257" s="39">
        <f t="shared" ref="M257:M267" si="42">I257*J257</f>
        <v>7.8219567483845136</v>
      </c>
      <c r="N257" s="39">
        <f t="shared" si="40"/>
        <v>9.5601693591366281</v>
      </c>
    </row>
    <row r="258" spans="1:14" ht="15.75" x14ac:dyDescent="0.25">
      <c r="A258" s="56">
        <v>47</v>
      </c>
      <c r="B258" s="56" t="s">
        <v>79</v>
      </c>
      <c r="C258" s="54">
        <f t="shared" si="39"/>
        <v>195576501.70251861</v>
      </c>
      <c r="D258" s="67">
        <f>'VRZ_CCA_w accel CCA'!E274</f>
        <v>35030671.508999996</v>
      </c>
      <c r="E258" s="29">
        <v>0</v>
      </c>
      <c r="F258" s="2">
        <v>0</v>
      </c>
      <c r="G258" s="67">
        <f>'VRZ_CCA_w accel CCA'!G274</f>
        <v>-260830</v>
      </c>
      <c r="H258" s="74">
        <f>SUM(D258+G258)/2</f>
        <v>17384920.754499998</v>
      </c>
      <c r="I258" s="2">
        <f>C258+H258</f>
        <v>212961422.45701861</v>
      </c>
      <c r="J258" s="75">
        <v>0.08</v>
      </c>
      <c r="K258" s="2"/>
      <c r="L258" s="2"/>
      <c r="M258" s="39">
        <f t="shared" si="42"/>
        <v>17036913.796561491</v>
      </c>
      <c r="N258" s="39">
        <f t="shared" si="40"/>
        <v>213309429.41495714</v>
      </c>
    </row>
    <row r="259" spans="1:14" x14ac:dyDescent="0.25">
      <c r="A259" s="56">
        <v>47</v>
      </c>
      <c r="B259" s="56" t="s">
        <v>78</v>
      </c>
      <c r="C259" s="54">
        <f t="shared" si="39"/>
        <v>0</v>
      </c>
      <c r="D259" s="29"/>
      <c r="E259" s="39">
        <v>0</v>
      </c>
      <c r="F259" s="2"/>
      <c r="G259" s="2">
        <v>0</v>
      </c>
      <c r="H259" s="74">
        <v>0</v>
      </c>
      <c r="I259" s="2">
        <f>C259+E259+G259</f>
        <v>0</v>
      </c>
      <c r="J259" s="75">
        <f>J258</f>
        <v>0.08</v>
      </c>
      <c r="K259" s="2"/>
      <c r="L259" s="2"/>
      <c r="M259" s="39">
        <f t="shared" si="42"/>
        <v>0</v>
      </c>
      <c r="N259" s="39">
        <f t="shared" si="40"/>
        <v>0</v>
      </c>
    </row>
    <row r="260" spans="1:14" x14ac:dyDescent="0.25">
      <c r="A260" s="3">
        <v>50</v>
      </c>
      <c r="B260" s="3" t="s">
        <v>77</v>
      </c>
      <c r="C260" s="54">
        <f t="shared" si="39"/>
        <v>2291258.4599830206</v>
      </c>
      <c r="D260" s="29">
        <f>'VRZ_CCA_w accel CCA'!E276</f>
        <v>771409.70000000065</v>
      </c>
      <c r="E260" s="39">
        <v>0</v>
      </c>
      <c r="F260" s="2">
        <v>0</v>
      </c>
      <c r="G260" s="2"/>
      <c r="H260" s="74">
        <f>SUM(D260+G260)/2</f>
        <v>385704.85000000033</v>
      </c>
      <c r="I260" s="74">
        <f>C260+H260+F260</f>
        <v>2676963.3099830206</v>
      </c>
      <c r="J260" s="75">
        <v>0.55000000000000004</v>
      </c>
      <c r="K260" s="2"/>
      <c r="L260" s="2"/>
      <c r="M260" s="39">
        <f t="shared" si="42"/>
        <v>1472329.8204906615</v>
      </c>
      <c r="N260" s="39">
        <f t="shared" si="40"/>
        <v>1590338.3394923597</v>
      </c>
    </row>
    <row r="261" spans="1:14" x14ac:dyDescent="0.25">
      <c r="A261" s="58">
        <v>50</v>
      </c>
      <c r="B261" s="3" t="s">
        <v>76</v>
      </c>
      <c r="C261" s="54">
        <f t="shared" si="39"/>
        <v>0</v>
      </c>
      <c r="D261" s="29">
        <v>0</v>
      </c>
      <c r="E261" s="39">
        <v>0</v>
      </c>
      <c r="F261" s="5"/>
      <c r="G261" s="5">
        <v>0</v>
      </c>
      <c r="H261" s="39"/>
      <c r="I261" s="2">
        <f>C261+E261+G261</f>
        <v>0</v>
      </c>
      <c r="J261" s="75">
        <f>J260</f>
        <v>0.55000000000000004</v>
      </c>
      <c r="K261" s="5"/>
      <c r="L261" s="5"/>
      <c r="M261" s="39">
        <f t="shared" si="42"/>
        <v>0</v>
      </c>
      <c r="N261" s="39">
        <f t="shared" si="40"/>
        <v>0</v>
      </c>
    </row>
    <row r="262" spans="1:14" x14ac:dyDescent="0.25">
      <c r="A262" s="59">
        <v>43.2</v>
      </c>
      <c r="B262" s="79" t="s">
        <v>75</v>
      </c>
      <c r="C262" s="54">
        <f t="shared" si="39"/>
        <v>5360.2549694664031</v>
      </c>
      <c r="D262" s="29">
        <v>0</v>
      </c>
      <c r="E262" s="39">
        <v>0</v>
      </c>
      <c r="F262" s="5"/>
      <c r="G262" s="5"/>
      <c r="H262" s="39">
        <f>SUM(D262+G262)/2</f>
        <v>0</v>
      </c>
      <c r="I262" s="74">
        <f>C262+H262</f>
        <v>5360.2549694664031</v>
      </c>
      <c r="J262" s="75">
        <v>0.5</v>
      </c>
      <c r="K262" s="5"/>
      <c r="L262" s="5"/>
      <c r="M262" s="39">
        <f t="shared" si="42"/>
        <v>2680.1274847332015</v>
      </c>
      <c r="N262" s="39">
        <f t="shared" si="40"/>
        <v>2680.1274847332015</v>
      </c>
    </row>
    <row r="263" spans="1:14" x14ac:dyDescent="0.25">
      <c r="A263" s="59">
        <v>46</v>
      </c>
      <c r="B263" s="79" t="s">
        <v>134</v>
      </c>
      <c r="C263" s="54">
        <f>N232</f>
        <v>183276.05309999999</v>
      </c>
      <c r="D263" s="29">
        <f>'VRZ_CCA_w accel CCA'!E280</f>
        <v>0</v>
      </c>
      <c r="E263" s="39">
        <v>0</v>
      </c>
      <c r="F263" s="2">
        <v>0</v>
      </c>
      <c r="G263" s="2"/>
      <c r="H263" s="74">
        <f>SUM(D263+G263)/2</f>
        <v>0</v>
      </c>
      <c r="I263" s="74">
        <f>C263+H263+F263</f>
        <v>183276.05309999999</v>
      </c>
      <c r="J263" s="75">
        <v>0.3</v>
      </c>
      <c r="K263" s="5"/>
      <c r="L263" s="5"/>
      <c r="M263" s="39">
        <f>I263*J263</f>
        <v>54982.815929999997</v>
      </c>
      <c r="N263" s="39">
        <f>H263+I263-M263</f>
        <v>128293.23716999999</v>
      </c>
    </row>
    <row r="264" spans="1:14" x14ac:dyDescent="0.25">
      <c r="A264" s="59">
        <v>46</v>
      </c>
      <c r="B264" s="79" t="s">
        <v>135</v>
      </c>
      <c r="C264" s="54">
        <v>0</v>
      </c>
      <c r="D264" s="29">
        <v>0</v>
      </c>
      <c r="E264" s="29">
        <v>0</v>
      </c>
      <c r="F264" s="39">
        <v>0</v>
      </c>
      <c r="G264" s="2"/>
      <c r="H264" s="2"/>
      <c r="I264" s="39"/>
      <c r="J264" s="75">
        <f>J263</f>
        <v>0.3</v>
      </c>
      <c r="K264" s="75"/>
      <c r="L264" s="2"/>
      <c r="M264" s="2"/>
      <c r="N264" s="39">
        <f>J264*K264</f>
        <v>0</v>
      </c>
    </row>
    <row r="265" spans="1:14" x14ac:dyDescent="0.25">
      <c r="A265" s="59">
        <v>14.1</v>
      </c>
      <c r="B265" s="79" t="s">
        <v>74</v>
      </c>
      <c r="C265" s="54">
        <f>N234</f>
        <v>2496641.3096996178</v>
      </c>
      <c r="D265" s="29">
        <v>0</v>
      </c>
      <c r="E265" s="39">
        <v>0</v>
      </c>
      <c r="F265" s="5"/>
      <c r="G265" s="5"/>
      <c r="H265" s="39"/>
      <c r="I265" s="74">
        <f>C265</f>
        <v>2496641.3096996178</v>
      </c>
      <c r="J265" s="75">
        <v>7.0000000000000007E-2</v>
      </c>
      <c r="K265" s="5"/>
      <c r="L265" s="5"/>
      <c r="M265" s="39">
        <f t="shared" si="42"/>
        <v>174764.89167897328</v>
      </c>
      <c r="N265" s="39">
        <f t="shared" si="40"/>
        <v>2321876.4180206447</v>
      </c>
    </row>
    <row r="266" spans="1:14" x14ac:dyDescent="0.25">
      <c r="A266" s="59">
        <v>14.1</v>
      </c>
      <c r="B266" s="80" t="s">
        <v>73</v>
      </c>
      <c r="C266" s="54">
        <f>N235</f>
        <v>4510141.6521275621</v>
      </c>
      <c r="D266" s="29">
        <f>'VRZ_CCA_w accel CCA'!E283</f>
        <v>2350993.11</v>
      </c>
      <c r="E266" s="39">
        <v>0</v>
      </c>
      <c r="F266" s="5"/>
      <c r="G266" s="5"/>
      <c r="H266" s="39">
        <f>SUM(D266+G266)/2</f>
        <v>1175496.5549999999</v>
      </c>
      <c r="I266" s="74">
        <f>C266+H266</f>
        <v>5685638.2071275618</v>
      </c>
      <c r="J266" s="75">
        <v>0.05</v>
      </c>
      <c r="K266" s="5"/>
      <c r="L266" s="5"/>
      <c r="M266" s="39">
        <f t="shared" si="42"/>
        <v>284281.91035637812</v>
      </c>
      <c r="N266" s="39">
        <f t="shared" si="40"/>
        <v>6576852.8517711833</v>
      </c>
    </row>
    <row r="267" spans="1:14" ht="15.75" x14ac:dyDescent="0.25">
      <c r="A267" s="60">
        <v>95</v>
      </c>
      <c r="B267" s="60" t="s">
        <v>10</v>
      </c>
      <c r="C267" s="54">
        <f>N236</f>
        <v>0</v>
      </c>
      <c r="D267" s="29">
        <v>0</v>
      </c>
      <c r="E267" s="39">
        <v>0</v>
      </c>
      <c r="F267" s="2">
        <v>0</v>
      </c>
      <c r="G267" s="81"/>
      <c r="H267" s="39">
        <v>0</v>
      </c>
      <c r="I267" s="39">
        <f>C267+D267+E267+F267</f>
        <v>0</v>
      </c>
      <c r="J267" s="75">
        <v>0</v>
      </c>
      <c r="K267" s="2"/>
      <c r="L267" s="2"/>
      <c r="M267" s="39">
        <f t="shared" si="42"/>
        <v>0</v>
      </c>
      <c r="N267" s="39">
        <f t="shared" si="40"/>
        <v>0</v>
      </c>
    </row>
    <row r="268" spans="1:14" ht="15.75" thickBot="1" x14ac:dyDescent="0.3">
      <c r="A268" s="61" t="s">
        <v>11</v>
      </c>
      <c r="B268" s="62"/>
      <c r="C268" s="63">
        <f>SUM(C242:C267)</f>
        <v>287897148.59524411</v>
      </c>
      <c r="D268" s="64">
        <f t="shared" ref="D268:I268" si="43">SUM(D242:D267)</f>
        <v>43538823.869000003</v>
      </c>
      <c r="E268" s="64">
        <f t="shared" si="43"/>
        <v>0</v>
      </c>
      <c r="F268" s="23">
        <f t="shared" si="43"/>
        <v>0</v>
      </c>
      <c r="G268" s="23">
        <f t="shared" si="43"/>
        <v>-287379</v>
      </c>
      <c r="H268" s="63">
        <f t="shared" si="43"/>
        <v>21625722.434500001</v>
      </c>
      <c r="I268" s="63">
        <f t="shared" si="43"/>
        <v>309522871.02974415</v>
      </c>
      <c r="J268" s="63" t="s">
        <v>0</v>
      </c>
      <c r="K268" s="63">
        <f>SUM(K242:K267)</f>
        <v>0</v>
      </c>
      <c r="L268" s="63">
        <f>SUM(L242:L267)</f>
        <v>0</v>
      </c>
      <c r="M268" s="63">
        <f>SUM(M242:M267)</f>
        <v>25531461.125496984</v>
      </c>
      <c r="N268" s="63">
        <f>SUM(N242:N267)</f>
        <v>305617132.3387472</v>
      </c>
    </row>
    <row r="269" spans="1:14" ht="15.75" thickTop="1" x14ac:dyDescent="0.25">
      <c r="L269" s="67" t="s">
        <v>0</v>
      </c>
      <c r="M269" s="67" t="s">
        <v>0</v>
      </c>
    </row>
    <row r="270" spans="1:14" x14ac:dyDescent="0.25">
      <c r="A270" s="68">
        <v>2026</v>
      </c>
      <c r="B270" s="68" t="s">
        <v>118</v>
      </c>
      <c r="M270" s="67" t="s">
        <v>0</v>
      </c>
    </row>
    <row r="271" spans="1:14" ht="30" x14ac:dyDescent="0.25">
      <c r="A271" s="53" t="s">
        <v>2</v>
      </c>
      <c r="B271" s="53" t="s">
        <v>3</v>
      </c>
      <c r="C271" s="53" t="s">
        <v>122</v>
      </c>
      <c r="D271" s="69" t="s">
        <v>123</v>
      </c>
      <c r="E271" s="69" t="s">
        <v>69</v>
      </c>
      <c r="F271" s="69" t="s">
        <v>4</v>
      </c>
      <c r="G271" s="69" t="s">
        <v>12</v>
      </c>
      <c r="H271" s="69" t="s">
        <v>5</v>
      </c>
      <c r="I271" s="69" t="s">
        <v>6</v>
      </c>
      <c r="J271" s="69" t="s">
        <v>57</v>
      </c>
      <c r="K271" s="69" t="s">
        <v>58</v>
      </c>
      <c r="L271" s="69" t="s">
        <v>7</v>
      </c>
      <c r="M271" s="69" t="s">
        <v>1</v>
      </c>
      <c r="N271" s="69" t="s">
        <v>8</v>
      </c>
    </row>
    <row r="272" spans="1:14" x14ac:dyDescent="0.25">
      <c r="A272" s="53"/>
      <c r="B272" s="53"/>
      <c r="C272" s="70"/>
      <c r="D272" s="28"/>
      <c r="E272" s="39"/>
      <c r="F272" s="1"/>
      <c r="G272" s="1"/>
      <c r="H272" s="1"/>
      <c r="I272" s="71"/>
      <c r="J272" s="72"/>
      <c r="K272" s="1"/>
      <c r="L272" s="1"/>
      <c r="M272" s="73"/>
      <c r="N272" s="73"/>
    </row>
    <row r="273" spans="1:14" x14ac:dyDescent="0.25">
      <c r="A273" s="3">
        <v>1</v>
      </c>
      <c r="B273" s="3" t="s">
        <v>94</v>
      </c>
      <c r="C273" s="54">
        <f t="shared" ref="C273:C293" si="44">N242</f>
        <v>60094219.243059665</v>
      </c>
      <c r="D273" s="29">
        <v>0</v>
      </c>
      <c r="E273" s="39"/>
      <c r="F273" s="2"/>
      <c r="G273" s="2"/>
      <c r="H273" s="39">
        <f>SUM(D273+G273)/2</f>
        <v>0</v>
      </c>
      <c r="I273" s="74">
        <f>C273+H273</f>
        <v>60094219.243059665</v>
      </c>
      <c r="J273" s="75">
        <v>0.04</v>
      </c>
      <c r="K273" s="2"/>
      <c r="L273" s="2"/>
      <c r="M273" s="39">
        <f>I273*J273</f>
        <v>2403768.7697223867</v>
      </c>
      <c r="N273" s="39">
        <f t="shared" ref="N273:N298" si="45">H273+I273-M273</f>
        <v>57690450.473337278</v>
      </c>
    </row>
    <row r="274" spans="1:14" x14ac:dyDescent="0.25">
      <c r="A274" s="55" t="s">
        <v>92</v>
      </c>
      <c r="B274" s="3" t="s">
        <v>93</v>
      </c>
      <c r="C274" s="54">
        <f t="shared" si="44"/>
        <v>12400121.714385634</v>
      </c>
      <c r="D274" s="29">
        <f>'VRZ_CCA_w accel CCA'!E292</f>
        <v>115517.78022615744</v>
      </c>
      <c r="E274" s="39">
        <v>0</v>
      </c>
      <c r="F274" s="2" t="s">
        <v>0</v>
      </c>
      <c r="G274" s="2"/>
      <c r="H274" s="74">
        <f>SUM(D274+G274)/2</f>
        <v>57758.89011307872</v>
      </c>
      <c r="I274" s="2">
        <f>C274+H274</f>
        <v>12457880.604498712</v>
      </c>
      <c r="J274" s="75">
        <v>0.06</v>
      </c>
      <c r="K274" s="2"/>
      <c r="L274" s="2"/>
      <c r="M274" s="39">
        <f t="shared" ref="M274:M285" si="46">I274*J274</f>
        <v>747472.83626992267</v>
      </c>
      <c r="N274" s="39">
        <f t="shared" si="45"/>
        <v>11768166.658341868</v>
      </c>
    </row>
    <row r="275" spans="1:14" x14ac:dyDescent="0.25">
      <c r="A275" s="55" t="s">
        <v>92</v>
      </c>
      <c r="B275" s="3" t="s">
        <v>91</v>
      </c>
      <c r="C275" s="54">
        <f t="shared" si="44"/>
        <v>0</v>
      </c>
      <c r="D275" s="29">
        <v>0</v>
      </c>
      <c r="E275" s="39">
        <v>0</v>
      </c>
      <c r="F275" s="2"/>
      <c r="G275" s="2"/>
      <c r="H275" s="74">
        <f>SUM(D275+G275)/2</f>
        <v>0</v>
      </c>
      <c r="I275" s="74">
        <f>C275+E275+G275</f>
        <v>0</v>
      </c>
      <c r="J275" s="75">
        <f>J274</f>
        <v>0.06</v>
      </c>
      <c r="K275" s="2"/>
      <c r="L275" s="2"/>
      <c r="M275" s="39">
        <f t="shared" si="46"/>
        <v>0</v>
      </c>
      <c r="N275" s="39">
        <f t="shared" si="45"/>
        <v>0</v>
      </c>
    </row>
    <row r="276" spans="1:14" x14ac:dyDescent="0.25">
      <c r="A276" s="56">
        <v>8</v>
      </c>
      <c r="B276" s="56" t="s">
        <v>90</v>
      </c>
      <c r="C276" s="54">
        <f t="shared" si="44"/>
        <v>4983938.3221240826</v>
      </c>
      <c r="D276" s="67">
        <f>'VRZ_CCA_w accel CCA'!E294</f>
        <v>42829.90187799096</v>
      </c>
      <c r="E276" s="29">
        <v>0</v>
      </c>
      <c r="F276" s="2"/>
      <c r="G276" s="2"/>
      <c r="H276" s="74">
        <f>SUM(D276+G276)/2</f>
        <v>21414.95093899548</v>
      </c>
      <c r="I276" s="2">
        <f>C276+H276</f>
        <v>5005353.2730630785</v>
      </c>
      <c r="J276" s="75">
        <v>0.2</v>
      </c>
      <c r="K276" s="2"/>
      <c r="L276" s="2"/>
      <c r="M276" s="39">
        <f t="shared" si="46"/>
        <v>1001070.6546126157</v>
      </c>
      <c r="N276" s="39">
        <f t="shared" si="45"/>
        <v>4025697.5693894587</v>
      </c>
    </row>
    <row r="277" spans="1:14" x14ac:dyDescent="0.25">
      <c r="A277" s="56">
        <v>8</v>
      </c>
      <c r="B277" s="56" t="s">
        <v>62</v>
      </c>
      <c r="C277" s="54">
        <f t="shared" si="44"/>
        <v>0</v>
      </c>
      <c r="D277" s="29">
        <v>0</v>
      </c>
      <c r="E277" s="39">
        <v>0</v>
      </c>
      <c r="F277" s="2"/>
      <c r="G277" s="2"/>
      <c r="H277" s="39"/>
      <c r="I277" s="74">
        <f>C277+E277+G277</f>
        <v>0</v>
      </c>
      <c r="J277" s="75">
        <f>J276</f>
        <v>0.2</v>
      </c>
      <c r="K277" s="2"/>
      <c r="L277" s="2"/>
      <c r="M277" s="39">
        <f t="shared" si="46"/>
        <v>0</v>
      </c>
      <c r="N277" s="39">
        <f t="shared" si="45"/>
        <v>0</v>
      </c>
    </row>
    <row r="278" spans="1:14" x14ac:dyDescent="0.25">
      <c r="A278" s="3">
        <v>10</v>
      </c>
      <c r="B278" s="3" t="s">
        <v>9</v>
      </c>
      <c r="C278" s="54">
        <f t="shared" si="44"/>
        <v>3602670.387774548</v>
      </c>
      <c r="D278" s="29">
        <f>'VRZ_CCA_w accel CCA'!E296</f>
        <v>996269.87869570963</v>
      </c>
      <c r="E278" s="39">
        <v>0</v>
      </c>
      <c r="F278" s="2"/>
      <c r="G278" s="2">
        <f>'VRZ_CCA_w accel CCA'!G296</f>
        <v>-26549</v>
      </c>
      <c r="H278" s="74">
        <f>SUM(D278+G278)/2</f>
        <v>484860.43934785482</v>
      </c>
      <c r="I278" s="74">
        <f>C278+H278</f>
        <v>4087530.8271224028</v>
      </c>
      <c r="J278" s="75">
        <v>0.3</v>
      </c>
      <c r="K278" s="2"/>
      <c r="L278" s="2"/>
      <c r="M278" s="39">
        <f t="shared" si="46"/>
        <v>1226259.2481367209</v>
      </c>
      <c r="N278" s="39">
        <f t="shared" si="45"/>
        <v>3346132.0183335366</v>
      </c>
    </row>
    <row r="279" spans="1:14" x14ac:dyDescent="0.25">
      <c r="A279" s="3">
        <v>10</v>
      </c>
      <c r="B279" s="3" t="s">
        <v>89</v>
      </c>
      <c r="C279" s="54">
        <f t="shared" si="44"/>
        <v>0</v>
      </c>
      <c r="D279" s="29">
        <v>0</v>
      </c>
      <c r="E279" s="39">
        <v>0</v>
      </c>
      <c r="F279" s="2"/>
      <c r="G279" s="2"/>
      <c r="H279" s="39"/>
      <c r="I279" s="74">
        <f>C279+E279+G279</f>
        <v>0</v>
      </c>
      <c r="J279" s="75">
        <f>J278</f>
        <v>0.3</v>
      </c>
      <c r="K279" s="2"/>
      <c r="L279" s="2"/>
      <c r="M279" s="39">
        <f t="shared" si="46"/>
        <v>0</v>
      </c>
      <c r="N279" s="39">
        <f t="shared" si="45"/>
        <v>0</v>
      </c>
    </row>
    <row r="280" spans="1:14" x14ac:dyDescent="0.25">
      <c r="A280" s="56">
        <v>10.1</v>
      </c>
      <c r="B280" s="3" t="s">
        <v>88</v>
      </c>
      <c r="C280" s="54">
        <f t="shared" si="44"/>
        <v>67.64851211976503</v>
      </c>
      <c r="D280" s="29">
        <v>0</v>
      </c>
      <c r="E280" s="39">
        <v>0</v>
      </c>
      <c r="F280" s="2"/>
      <c r="G280" s="2"/>
      <c r="H280" s="39">
        <f>SUM(D280+G280)/2</f>
        <v>0</v>
      </c>
      <c r="I280" s="74">
        <f>C280+H280</f>
        <v>67.64851211976503</v>
      </c>
      <c r="J280" s="75">
        <v>0.3</v>
      </c>
      <c r="K280" s="2"/>
      <c r="L280" s="2"/>
      <c r="M280" s="39">
        <f t="shared" si="46"/>
        <v>20.294553635929507</v>
      </c>
      <c r="N280" s="39">
        <f t="shared" si="45"/>
        <v>47.353958483835527</v>
      </c>
    </row>
    <row r="281" spans="1:14" x14ac:dyDescent="0.25">
      <c r="A281" s="56">
        <v>10.1</v>
      </c>
      <c r="B281" s="3" t="s">
        <v>87</v>
      </c>
      <c r="C281" s="54">
        <f t="shared" si="44"/>
        <v>67.771008293816237</v>
      </c>
      <c r="D281" s="29">
        <v>0</v>
      </c>
      <c r="E281" s="39">
        <v>0</v>
      </c>
      <c r="F281" s="2"/>
      <c r="G281" s="2"/>
      <c r="H281" s="39">
        <f>SUM(D281+G281)/2</f>
        <v>0</v>
      </c>
      <c r="I281" s="74">
        <f>C281+H281</f>
        <v>67.771008293816237</v>
      </c>
      <c r="J281" s="75">
        <v>0.3</v>
      </c>
      <c r="K281" s="2"/>
      <c r="L281" s="2"/>
      <c r="M281" s="39">
        <f t="shared" si="46"/>
        <v>20.331302488144871</v>
      </c>
      <c r="N281" s="39">
        <f t="shared" si="45"/>
        <v>47.439705805671366</v>
      </c>
    </row>
    <row r="282" spans="1:14" x14ac:dyDescent="0.25">
      <c r="A282" s="56">
        <v>10.1</v>
      </c>
      <c r="B282" s="3" t="s">
        <v>86</v>
      </c>
      <c r="C282" s="54">
        <f t="shared" si="44"/>
        <v>98.047979313466612</v>
      </c>
      <c r="D282" s="29">
        <v>0</v>
      </c>
      <c r="E282" s="39">
        <v>0</v>
      </c>
      <c r="F282" s="2"/>
      <c r="G282" s="2"/>
      <c r="H282" s="39">
        <f>SUM(D282+G282)/2</f>
        <v>0</v>
      </c>
      <c r="I282" s="74">
        <f>C282+H282</f>
        <v>98.047979313466612</v>
      </c>
      <c r="J282" s="75">
        <v>0.3</v>
      </c>
      <c r="K282" s="2"/>
      <c r="L282" s="2"/>
      <c r="M282" s="39">
        <f t="shared" si="46"/>
        <v>29.414393794039981</v>
      </c>
      <c r="N282" s="39">
        <f t="shared" si="45"/>
        <v>68.633585519426632</v>
      </c>
    </row>
    <row r="283" spans="1:14" x14ac:dyDescent="0.25">
      <c r="A283" s="56">
        <v>10.1</v>
      </c>
      <c r="B283" s="3" t="s">
        <v>85</v>
      </c>
      <c r="C283" s="54">
        <f t="shared" si="44"/>
        <v>140.06027824559169</v>
      </c>
      <c r="D283" s="29">
        <v>0</v>
      </c>
      <c r="E283" s="39">
        <v>0</v>
      </c>
      <c r="F283" s="2"/>
      <c r="G283" s="2"/>
      <c r="H283" s="39">
        <f>SUM(D283+G283)/2</f>
        <v>0</v>
      </c>
      <c r="I283" s="74">
        <f>C283+H283</f>
        <v>140.06027824559169</v>
      </c>
      <c r="J283" s="75">
        <v>0.3</v>
      </c>
      <c r="K283" s="2"/>
      <c r="L283" s="2"/>
      <c r="M283" s="39">
        <f t="shared" si="46"/>
        <v>42.018083473677507</v>
      </c>
      <c r="N283" s="39">
        <f t="shared" si="45"/>
        <v>98.042194771914183</v>
      </c>
    </row>
    <row r="284" spans="1:14" x14ac:dyDescent="0.25">
      <c r="A284" s="56">
        <v>12</v>
      </c>
      <c r="B284" s="57" t="s">
        <v>84</v>
      </c>
      <c r="C284" s="54">
        <f t="shared" si="44"/>
        <v>605439.60000000056</v>
      </c>
      <c r="D284" s="67">
        <f>'VRZ_CCA_w accel CCA'!E302</f>
        <v>0</v>
      </c>
      <c r="E284" s="29">
        <v>0</v>
      </c>
      <c r="F284" s="2"/>
      <c r="G284" s="2"/>
      <c r="H284" s="39">
        <f>SUM(D284+G284)/2</f>
        <v>0</v>
      </c>
      <c r="I284" s="74">
        <f>C284+H284</f>
        <v>605439.60000000056</v>
      </c>
      <c r="J284" s="75">
        <v>1</v>
      </c>
      <c r="K284" s="2"/>
      <c r="L284" s="2"/>
      <c r="M284" s="39">
        <f t="shared" si="46"/>
        <v>605439.60000000056</v>
      </c>
      <c r="N284" s="39">
        <f t="shared" si="45"/>
        <v>0</v>
      </c>
    </row>
    <row r="285" spans="1:14" x14ac:dyDescent="0.25">
      <c r="A285" s="56">
        <v>12</v>
      </c>
      <c r="B285" s="57" t="s">
        <v>83</v>
      </c>
      <c r="C285" s="39">
        <f t="shared" si="44"/>
        <v>0</v>
      </c>
      <c r="D285" s="29">
        <v>0</v>
      </c>
      <c r="E285" s="39">
        <v>0</v>
      </c>
      <c r="F285" s="2"/>
      <c r="G285" s="2"/>
      <c r="H285" s="74"/>
      <c r="I285" s="74">
        <f>C285+E285+G285</f>
        <v>0</v>
      </c>
      <c r="J285" s="75">
        <f>J284</f>
        <v>1</v>
      </c>
      <c r="K285" s="2"/>
      <c r="L285" s="2"/>
      <c r="M285" s="39">
        <f t="shared" si="46"/>
        <v>0</v>
      </c>
      <c r="N285" s="39">
        <f t="shared" si="45"/>
        <v>0</v>
      </c>
    </row>
    <row r="286" spans="1:14" x14ac:dyDescent="0.25">
      <c r="A286" s="56">
        <v>13</v>
      </c>
      <c r="B286" s="57" t="s">
        <v>82</v>
      </c>
      <c r="C286" s="54">
        <f t="shared" si="44"/>
        <v>-9.495969864929793E-2</v>
      </c>
      <c r="D286" s="29">
        <v>0</v>
      </c>
      <c r="E286" s="39"/>
      <c r="F286" s="2"/>
      <c r="G286" s="2"/>
      <c r="H286" s="74">
        <v>0</v>
      </c>
      <c r="I286" s="74">
        <f>C286+D286</f>
        <v>-9.495969864929793E-2</v>
      </c>
      <c r="J286" s="75">
        <v>0</v>
      </c>
      <c r="K286" s="2"/>
      <c r="L286" s="77"/>
      <c r="M286" s="74">
        <f>I286/30*9</f>
        <v>-2.8487909594789376E-2</v>
      </c>
      <c r="N286" s="39">
        <f t="shared" si="45"/>
        <v>-6.6471789054508554E-2</v>
      </c>
    </row>
    <row r="287" spans="1:14" x14ac:dyDescent="0.25">
      <c r="A287" s="56">
        <v>42</v>
      </c>
      <c r="B287" s="56" t="s">
        <v>81</v>
      </c>
      <c r="C287" s="54">
        <f t="shared" si="44"/>
        <v>889.6895195951189</v>
      </c>
      <c r="D287" s="29">
        <v>0</v>
      </c>
      <c r="E287" s="39">
        <v>0</v>
      </c>
      <c r="F287" s="2"/>
      <c r="G287" s="2"/>
      <c r="H287" s="74">
        <f>SUM(D287+G287)/2</f>
        <v>0</v>
      </c>
      <c r="I287" s="76">
        <f>C287+H287</f>
        <v>889.6895195951189</v>
      </c>
      <c r="J287" s="75">
        <v>0.12</v>
      </c>
      <c r="K287" s="2"/>
      <c r="L287" s="2"/>
      <c r="M287" s="39">
        <f>I287*J287</f>
        <v>106.76274235141426</v>
      </c>
      <c r="N287" s="39">
        <f t="shared" si="45"/>
        <v>782.92677724370469</v>
      </c>
    </row>
    <row r="288" spans="1:14" x14ac:dyDescent="0.25">
      <c r="A288" s="3">
        <v>45</v>
      </c>
      <c r="B288" s="3" t="s">
        <v>80</v>
      </c>
      <c r="C288" s="54">
        <f t="shared" si="44"/>
        <v>9.5601693591366281</v>
      </c>
      <c r="D288" s="78">
        <v>0</v>
      </c>
      <c r="E288" s="39">
        <v>0</v>
      </c>
      <c r="F288" s="2"/>
      <c r="G288" s="2"/>
      <c r="H288" s="74">
        <f>SUM(D288+G288)/2</f>
        <v>0</v>
      </c>
      <c r="I288" s="2">
        <f>C288+H288</f>
        <v>9.5601693591366281</v>
      </c>
      <c r="J288" s="75">
        <v>0.45</v>
      </c>
      <c r="K288" s="2"/>
      <c r="L288" s="2"/>
      <c r="M288" s="39">
        <f t="shared" ref="M288:M298" si="47">I288*J288</f>
        <v>4.3020762116114826</v>
      </c>
      <c r="N288" s="39">
        <f t="shared" si="45"/>
        <v>5.2580931475251456</v>
      </c>
    </row>
    <row r="289" spans="1:14" ht="15.75" x14ac:dyDescent="0.25">
      <c r="A289" s="56">
        <v>47</v>
      </c>
      <c r="B289" s="56" t="s">
        <v>79</v>
      </c>
      <c r="C289" s="54">
        <f t="shared" si="44"/>
        <v>213309429.41495714</v>
      </c>
      <c r="D289" s="67">
        <f>'VRZ_CCA_w accel CCA'!E307</f>
        <v>36312955.749930441</v>
      </c>
      <c r="E289" s="29">
        <v>0</v>
      </c>
      <c r="F289" s="2">
        <v>0</v>
      </c>
      <c r="G289" s="67">
        <f>'VRZ_CCA_w accel CCA'!G307</f>
        <v>-260830</v>
      </c>
      <c r="H289" s="74">
        <f>SUM(D289+G289)/2</f>
        <v>18026062.874965221</v>
      </c>
      <c r="I289" s="2">
        <f>C289+H289</f>
        <v>231335492.28992236</v>
      </c>
      <c r="J289" s="75">
        <v>0.08</v>
      </c>
      <c r="K289" s="2"/>
      <c r="L289" s="2"/>
      <c r="M289" s="39">
        <f t="shared" si="47"/>
        <v>18506839.383193787</v>
      </c>
      <c r="N289" s="39">
        <f t="shared" si="45"/>
        <v>230854715.78169379</v>
      </c>
    </row>
    <row r="290" spans="1:14" x14ac:dyDescent="0.25">
      <c r="A290" s="56">
        <v>47</v>
      </c>
      <c r="B290" s="56" t="s">
        <v>78</v>
      </c>
      <c r="C290" s="54">
        <f t="shared" si="44"/>
        <v>0</v>
      </c>
      <c r="D290" s="29"/>
      <c r="E290" s="39">
        <v>0</v>
      </c>
      <c r="F290" s="2"/>
      <c r="G290" s="2">
        <v>0</v>
      </c>
      <c r="H290" s="74">
        <v>0</v>
      </c>
      <c r="I290" s="2">
        <f>C290+E290+G290</f>
        <v>0</v>
      </c>
      <c r="J290" s="75">
        <f>J289</f>
        <v>0.08</v>
      </c>
      <c r="K290" s="2"/>
      <c r="L290" s="2"/>
      <c r="M290" s="39">
        <f t="shared" si="47"/>
        <v>0</v>
      </c>
      <c r="N290" s="39">
        <f t="shared" si="45"/>
        <v>0</v>
      </c>
    </row>
    <row r="291" spans="1:14" x14ac:dyDescent="0.25">
      <c r="A291" s="3">
        <v>50</v>
      </c>
      <c r="B291" s="3" t="s">
        <v>77</v>
      </c>
      <c r="C291" s="54">
        <f t="shared" si="44"/>
        <v>1590338.3394923597</v>
      </c>
      <c r="D291" s="29">
        <f>'VRZ_CCA_w accel CCA'!E309</f>
        <v>0</v>
      </c>
      <c r="E291" s="39">
        <v>0</v>
      </c>
      <c r="F291" s="2">
        <v>0</v>
      </c>
      <c r="G291" s="2"/>
      <c r="H291" s="74">
        <f>SUM(D291+G291)/2</f>
        <v>0</v>
      </c>
      <c r="I291" s="74">
        <f>C291+H291+F291</f>
        <v>1590338.3394923597</v>
      </c>
      <c r="J291" s="75">
        <v>0.55000000000000004</v>
      </c>
      <c r="K291" s="2"/>
      <c r="L291" s="2"/>
      <c r="M291" s="39">
        <f t="shared" si="47"/>
        <v>874686.08672079793</v>
      </c>
      <c r="N291" s="39">
        <f t="shared" si="45"/>
        <v>715652.25277156173</v>
      </c>
    </row>
    <row r="292" spans="1:14" x14ac:dyDescent="0.25">
      <c r="A292" s="58">
        <v>50</v>
      </c>
      <c r="B292" s="3" t="s">
        <v>76</v>
      </c>
      <c r="C292" s="54">
        <f t="shared" si="44"/>
        <v>0</v>
      </c>
      <c r="D292" s="29">
        <v>0</v>
      </c>
      <c r="E292" s="39">
        <v>0</v>
      </c>
      <c r="F292" s="5"/>
      <c r="G292" s="5">
        <v>0</v>
      </c>
      <c r="H292" s="39"/>
      <c r="I292" s="2">
        <f>C292+E292+G292</f>
        <v>0</v>
      </c>
      <c r="J292" s="75">
        <f>J291</f>
        <v>0.55000000000000004</v>
      </c>
      <c r="K292" s="5"/>
      <c r="L292" s="5"/>
      <c r="M292" s="39">
        <f t="shared" si="47"/>
        <v>0</v>
      </c>
      <c r="N292" s="39">
        <f t="shared" si="45"/>
        <v>0</v>
      </c>
    </row>
    <row r="293" spans="1:14" x14ac:dyDescent="0.25">
      <c r="A293" s="59">
        <v>43.2</v>
      </c>
      <c r="B293" s="79" t="s">
        <v>75</v>
      </c>
      <c r="C293" s="54">
        <f t="shared" si="44"/>
        <v>2680.1274847332015</v>
      </c>
      <c r="D293" s="29">
        <v>0</v>
      </c>
      <c r="E293" s="39">
        <v>0</v>
      </c>
      <c r="F293" s="5"/>
      <c r="G293" s="5"/>
      <c r="H293" s="39">
        <f>SUM(D293+G293)/2</f>
        <v>0</v>
      </c>
      <c r="I293" s="74">
        <f>C293+H293</f>
        <v>2680.1274847332015</v>
      </c>
      <c r="J293" s="75">
        <v>0.5</v>
      </c>
      <c r="K293" s="5"/>
      <c r="L293" s="5"/>
      <c r="M293" s="39">
        <f t="shared" si="47"/>
        <v>1340.0637423666008</v>
      </c>
      <c r="N293" s="39">
        <f t="shared" si="45"/>
        <v>1340.0637423666008</v>
      </c>
    </row>
    <row r="294" spans="1:14" x14ac:dyDescent="0.25">
      <c r="A294" s="59">
        <v>46</v>
      </c>
      <c r="B294" s="79" t="s">
        <v>134</v>
      </c>
      <c r="C294" s="54">
        <f>N263</f>
        <v>128293.23716999999</v>
      </c>
      <c r="D294" s="45">
        <f>'VRZ_CCA_w accel CCA'!E313</f>
        <v>0</v>
      </c>
      <c r="E294" s="39">
        <v>0</v>
      </c>
      <c r="F294" s="2">
        <v>0</v>
      </c>
      <c r="G294" s="2"/>
      <c r="H294" s="74">
        <f>SUM(D294+G294)/2</f>
        <v>0</v>
      </c>
      <c r="I294" s="74">
        <f>C294+H294+F294</f>
        <v>128293.23716999999</v>
      </c>
      <c r="J294" s="75">
        <v>0.3</v>
      </c>
      <c r="K294" s="5"/>
      <c r="L294" s="5"/>
      <c r="M294" s="39">
        <f>I294*J294</f>
        <v>38487.971150999998</v>
      </c>
      <c r="N294" s="39">
        <f>H294+I294-M294</f>
        <v>89805.266019000002</v>
      </c>
    </row>
    <row r="295" spans="1:14" x14ac:dyDescent="0.25">
      <c r="A295" s="59">
        <v>46</v>
      </c>
      <c r="B295" s="79" t="s">
        <v>135</v>
      </c>
      <c r="C295" s="54">
        <v>0</v>
      </c>
      <c r="D295" s="67">
        <v>0</v>
      </c>
      <c r="E295" s="29">
        <v>0</v>
      </c>
      <c r="F295" s="39">
        <v>0</v>
      </c>
      <c r="G295" s="2"/>
      <c r="H295" s="2"/>
      <c r="I295" s="39"/>
      <c r="J295" s="75">
        <f>J294</f>
        <v>0.3</v>
      </c>
      <c r="K295" s="75"/>
      <c r="L295" s="2"/>
      <c r="M295" s="2"/>
      <c r="N295" s="39">
        <f>J295*K295</f>
        <v>0</v>
      </c>
    </row>
    <row r="296" spans="1:14" x14ac:dyDescent="0.25">
      <c r="A296" s="59">
        <v>14.1</v>
      </c>
      <c r="B296" s="79" t="s">
        <v>74</v>
      </c>
      <c r="C296" s="54">
        <f>N265</f>
        <v>2321876.4180206447</v>
      </c>
      <c r="D296" s="67">
        <v>0</v>
      </c>
      <c r="E296" s="39">
        <v>0</v>
      </c>
      <c r="F296" s="5"/>
      <c r="G296" s="5"/>
      <c r="H296" s="39"/>
      <c r="I296" s="74">
        <f>C296</f>
        <v>2321876.4180206447</v>
      </c>
      <c r="J296" s="75">
        <v>7.0000000000000007E-2</v>
      </c>
      <c r="K296" s="5"/>
      <c r="L296" s="5"/>
      <c r="M296" s="39">
        <f t="shared" si="47"/>
        <v>162531.34926144514</v>
      </c>
      <c r="N296" s="39">
        <f t="shared" si="45"/>
        <v>2159345.0687591997</v>
      </c>
    </row>
    <row r="297" spans="1:14" x14ac:dyDescent="0.25">
      <c r="A297" s="59">
        <v>14.1</v>
      </c>
      <c r="B297" s="80" t="s">
        <v>73</v>
      </c>
      <c r="C297" s="54">
        <f>N266</f>
        <v>6576852.8517711833</v>
      </c>
      <c r="D297" s="29">
        <f>'VRZ_CCA_w accel CCA'!E316</f>
        <v>17665982.582268201</v>
      </c>
      <c r="E297" s="39">
        <v>0</v>
      </c>
      <c r="F297" s="5"/>
      <c r="G297" s="5"/>
      <c r="H297" s="39">
        <f>SUM(D297+G297)/2</f>
        <v>8832991.2911341004</v>
      </c>
      <c r="I297" s="74">
        <f>C297+H297</f>
        <v>15409844.142905284</v>
      </c>
      <c r="J297" s="75">
        <v>0.05</v>
      </c>
      <c r="K297" s="5"/>
      <c r="L297" s="5"/>
      <c r="M297" s="39">
        <f t="shared" si="47"/>
        <v>770492.20714526426</v>
      </c>
      <c r="N297" s="39">
        <f t="shared" si="45"/>
        <v>23472343.226894122</v>
      </c>
    </row>
    <row r="298" spans="1:14" ht="15.75" x14ac:dyDescent="0.25">
      <c r="A298" s="60">
        <v>95</v>
      </c>
      <c r="B298" s="60" t="s">
        <v>10</v>
      </c>
      <c r="C298" s="54">
        <f>N267</f>
        <v>0</v>
      </c>
      <c r="D298" s="29">
        <v>0</v>
      </c>
      <c r="E298" s="39">
        <v>0</v>
      </c>
      <c r="F298" s="2">
        <v>0</v>
      </c>
      <c r="G298" s="81"/>
      <c r="H298" s="39">
        <v>0</v>
      </c>
      <c r="I298" s="39">
        <f>C298+D298+E298+F298</f>
        <v>0</v>
      </c>
      <c r="J298" s="75">
        <v>0</v>
      </c>
      <c r="K298" s="2"/>
      <c r="L298" s="2"/>
      <c r="M298" s="39">
        <f t="shared" si="47"/>
        <v>0</v>
      </c>
      <c r="N298" s="39">
        <f t="shared" si="45"/>
        <v>0</v>
      </c>
    </row>
    <row r="299" spans="1:14" ht="15.75" thickBot="1" x14ac:dyDescent="0.3">
      <c r="A299" s="61" t="s">
        <v>11</v>
      </c>
      <c r="B299" s="62"/>
      <c r="C299" s="63">
        <f>SUM(C273:C298)</f>
        <v>305617132.3387472</v>
      </c>
      <c r="D299" s="64">
        <f t="shared" ref="D299:I299" si="48">SUM(D273:D298)</f>
        <v>55133555.892998502</v>
      </c>
      <c r="E299" s="64">
        <f t="shared" si="48"/>
        <v>0</v>
      </c>
      <c r="F299" s="23">
        <f t="shared" si="48"/>
        <v>0</v>
      </c>
      <c r="G299" s="23">
        <f t="shared" si="48"/>
        <v>-287379</v>
      </c>
      <c r="H299" s="63">
        <f t="shared" si="48"/>
        <v>27423088.446499251</v>
      </c>
      <c r="I299" s="63">
        <f t="shared" si="48"/>
        <v>333040220.78524649</v>
      </c>
      <c r="J299" s="63" t="s">
        <v>0</v>
      </c>
      <c r="K299" s="63">
        <f>SUM(K273:K298)</f>
        <v>0</v>
      </c>
      <c r="L299" s="63">
        <f>SUM(L273:L298)</f>
        <v>0</v>
      </c>
      <c r="M299" s="63">
        <f>SUM(M273:M298)</f>
        <v>26338611.264620349</v>
      </c>
      <c r="N299" s="63">
        <f>SUM(N273:N298)</f>
        <v>334124697.96712536</v>
      </c>
    </row>
    <row r="300" spans="1:14" ht="15.75" thickTop="1" x14ac:dyDescent="0.25">
      <c r="L300" s="67" t="s">
        <v>0</v>
      </c>
      <c r="M300" s="67" t="s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BE53-3E8F-4D14-B38E-EB3C9ECEF926}">
  <dimension ref="A1:S254"/>
  <sheetViews>
    <sheetView zoomScale="80" zoomScaleNormal="80" workbookViewId="0">
      <selection activeCell="L29" sqref="L29"/>
    </sheetView>
  </sheetViews>
  <sheetFormatPr defaultRowHeight="15" x14ac:dyDescent="0.25"/>
  <cols>
    <col min="1" max="1" width="9" customWidth="1"/>
    <col min="2" max="2" width="59.42578125" bestFit="1" customWidth="1"/>
    <col min="3" max="3" width="15.7109375" customWidth="1"/>
    <col min="4" max="4" width="13.85546875" style="99" bestFit="1" customWidth="1"/>
    <col min="5" max="5" width="16" style="99" bestFit="1" customWidth="1"/>
    <col min="6" max="6" width="14" style="99" customWidth="1"/>
    <col min="7" max="7" width="13" style="99" bestFit="1" customWidth="1"/>
    <col min="8" max="8" width="14.42578125" style="99" bestFit="1" customWidth="1"/>
    <col min="9" max="9" width="15.28515625" style="99" bestFit="1" customWidth="1"/>
    <col min="10" max="10" width="10" style="99" customWidth="1"/>
    <col min="11" max="11" width="12.85546875" style="99" customWidth="1"/>
    <col min="12" max="12" width="13" style="99" bestFit="1" customWidth="1"/>
    <col min="13" max="13" width="14.42578125" style="149" bestFit="1" customWidth="1"/>
    <col min="14" max="14" width="17.28515625" customWidth="1"/>
    <col min="15" max="15" width="10.5703125" bestFit="1" customWidth="1"/>
    <col min="16" max="16" width="12.7109375" bestFit="1" customWidth="1"/>
    <col min="17" max="17" width="13.85546875" bestFit="1" customWidth="1"/>
    <col min="18" max="18" width="12.140625" bestFit="1" customWidth="1"/>
    <col min="19" max="19" width="10.85546875" bestFit="1" customWidth="1"/>
  </cols>
  <sheetData>
    <row r="1" spans="1:15" x14ac:dyDescent="0.25">
      <c r="A1">
        <v>2018</v>
      </c>
      <c r="B1" t="s">
        <v>65</v>
      </c>
    </row>
    <row r="2" spans="1:15" ht="30" x14ac:dyDescent="0.25">
      <c r="A2" s="150" t="s">
        <v>2</v>
      </c>
      <c r="B2" s="53" t="s">
        <v>3</v>
      </c>
      <c r="C2" s="53" t="s">
        <v>59</v>
      </c>
      <c r="D2" s="151" t="s">
        <v>60</v>
      </c>
      <c r="E2" s="151" t="s">
        <v>69</v>
      </c>
      <c r="F2" s="151" t="s">
        <v>4</v>
      </c>
      <c r="G2" s="151" t="s">
        <v>12</v>
      </c>
      <c r="H2" s="151" t="s">
        <v>5</v>
      </c>
      <c r="I2" s="151" t="s">
        <v>6</v>
      </c>
      <c r="J2" s="151" t="s">
        <v>57</v>
      </c>
      <c r="K2" s="151" t="s">
        <v>58</v>
      </c>
      <c r="L2" s="151" t="s">
        <v>7</v>
      </c>
      <c r="M2" s="152" t="s">
        <v>61</v>
      </c>
      <c r="N2" s="153" t="s">
        <v>8</v>
      </c>
    </row>
    <row r="3" spans="1:15" x14ac:dyDescent="0.25">
      <c r="A3" s="150"/>
      <c r="B3" s="53"/>
      <c r="C3" s="154"/>
      <c r="D3" s="28"/>
      <c r="E3" s="155"/>
      <c r="F3" s="1"/>
      <c r="G3" s="1"/>
      <c r="H3" s="1"/>
      <c r="I3" s="156"/>
      <c r="J3" s="157"/>
      <c r="K3" s="1"/>
      <c r="L3" s="1"/>
      <c r="M3" s="73"/>
      <c r="N3" s="158"/>
    </row>
    <row r="4" spans="1:15" x14ac:dyDescent="0.25">
      <c r="A4" s="159">
        <v>1</v>
      </c>
      <c r="B4" s="3" t="s">
        <v>168</v>
      </c>
      <c r="C4" s="54">
        <v>33378547</v>
      </c>
      <c r="D4" s="29">
        <v>59040</v>
      </c>
      <c r="E4" s="155"/>
      <c r="F4" s="2"/>
      <c r="G4" s="2"/>
      <c r="H4" s="100">
        <f>SUM(D4+G4)/2</f>
        <v>29520</v>
      </c>
      <c r="I4" s="160">
        <f>C4+H4</f>
        <v>33408067</v>
      </c>
      <c r="J4" s="161">
        <v>0.04</v>
      </c>
      <c r="K4" s="2"/>
      <c r="L4" s="2"/>
      <c r="M4" s="39">
        <f>I4*J4</f>
        <v>1336322.68</v>
      </c>
      <c r="N4" s="100">
        <f t="shared" ref="N4:N21" si="0">H4+I4-M4</f>
        <v>32101264.32</v>
      </c>
    </row>
    <row r="5" spans="1:15" x14ac:dyDescent="0.25">
      <c r="A5" s="159">
        <v>1</v>
      </c>
      <c r="B5" s="3" t="s">
        <v>169</v>
      </c>
      <c r="C5" s="54"/>
      <c r="D5" s="29"/>
      <c r="E5" s="155">
        <v>143224</v>
      </c>
      <c r="F5" s="2"/>
      <c r="G5" s="2"/>
      <c r="H5" s="100"/>
      <c r="I5" s="160">
        <f>E5</f>
        <v>143224</v>
      </c>
      <c r="J5" s="161">
        <f>J4*1.5</f>
        <v>0.06</v>
      </c>
      <c r="K5" s="2"/>
      <c r="L5" s="2"/>
      <c r="M5" s="39">
        <f>I5*J5</f>
        <v>8593.44</v>
      </c>
      <c r="N5" s="100">
        <f>H5+I5-M5</f>
        <v>134630.56</v>
      </c>
    </row>
    <row r="6" spans="1:15" x14ac:dyDescent="0.25">
      <c r="A6" s="162">
        <v>2</v>
      </c>
      <c r="B6" s="3" t="s">
        <v>170</v>
      </c>
      <c r="C6" s="54">
        <v>4949174</v>
      </c>
      <c r="D6" s="29">
        <v>0</v>
      </c>
      <c r="E6" s="155">
        <v>0</v>
      </c>
      <c r="F6" s="2" t="s">
        <v>0</v>
      </c>
      <c r="G6" s="2"/>
      <c r="H6" s="160">
        <f>SUM(D6+G6)/2</f>
        <v>0</v>
      </c>
      <c r="I6" s="160">
        <f>C6+H6</f>
        <v>4949174</v>
      </c>
      <c r="J6" s="161">
        <v>0.06</v>
      </c>
      <c r="K6" s="2"/>
      <c r="L6" s="2"/>
      <c r="M6" s="39">
        <f>I6*J6</f>
        <v>296950.44</v>
      </c>
      <c r="N6" s="100">
        <f t="shared" si="0"/>
        <v>4652223.5599999996</v>
      </c>
      <c r="O6" s="163" t="s">
        <v>0</v>
      </c>
    </row>
    <row r="7" spans="1:15" x14ac:dyDescent="0.25">
      <c r="A7" s="164">
        <v>8</v>
      </c>
      <c r="B7" s="56" t="s">
        <v>171</v>
      </c>
      <c r="C7" s="54">
        <v>2111506</v>
      </c>
      <c r="D7" s="29">
        <v>341775</v>
      </c>
      <c r="E7" s="155">
        <v>0</v>
      </c>
      <c r="F7" s="2"/>
      <c r="G7" s="2"/>
      <c r="H7" s="160">
        <f>SUM(D7+G7)/2</f>
        <v>170887.5</v>
      </c>
      <c r="I7" s="165">
        <f>C7+H7</f>
        <v>2282393.5</v>
      </c>
      <c r="J7" s="161">
        <v>0.2</v>
      </c>
      <c r="K7" s="2"/>
      <c r="L7" s="2"/>
      <c r="M7" s="39">
        <f>I7*J7</f>
        <v>456478.7</v>
      </c>
      <c r="N7" s="100">
        <f t="shared" si="0"/>
        <v>1996802.3</v>
      </c>
    </row>
    <row r="8" spans="1:15" x14ac:dyDescent="0.25">
      <c r="A8" s="164">
        <v>8</v>
      </c>
      <c r="B8" s="56" t="s">
        <v>62</v>
      </c>
      <c r="C8" s="54"/>
      <c r="D8" s="29"/>
      <c r="E8" s="155">
        <v>65529</v>
      </c>
      <c r="F8" s="2"/>
      <c r="G8" s="2"/>
      <c r="H8" s="100"/>
      <c r="I8" s="160">
        <f>E8</f>
        <v>65529</v>
      </c>
      <c r="J8" s="161">
        <f>J7*1.5</f>
        <v>0.30000000000000004</v>
      </c>
      <c r="K8" s="2"/>
      <c r="L8" s="2"/>
      <c r="M8" s="39">
        <f>I8*J8</f>
        <v>19658.700000000004</v>
      </c>
      <c r="N8" s="100">
        <f t="shared" si="0"/>
        <v>45870.299999999996</v>
      </c>
    </row>
    <row r="9" spans="1:15" x14ac:dyDescent="0.25">
      <c r="A9" s="159">
        <v>10</v>
      </c>
      <c r="B9" s="3" t="s">
        <v>172</v>
      </c>
      <c r="C9" s="54">
        <v>3734</v>
      </c>
      <c r="D9" s="29">
        <v>0</v>
      </c>
      <c r="E9" s="155">
        <v>0</v>
      </c>
      <c r="F9" s="2"/>
      <c r="G9" s="2">
        <v>0</v>
      </c>
      <c r="H9" s="100">
        <f>SUM(D9+G9)/2</f>
        <v>0</v>
      </c>
      <c r="I9" s="160">
        <f>C9+H9</f>
        <v>3734</v>
      </c>
      <c r="J9" s="161">
        <v>0.3</v>
      </c>
      <c r="K9" s="2"/>
      <c r="L9" s="2"/>
      <c r="M9" s="39">
        <f t="shared" ref="M9:M19" si="1">I9*J9</f>
        <v>1120.2</v>
      </c>
      <c r="N9" s="100">
        <f t="shared" si="0"/>
        <v>2613.8000000000002</v>
      </c>
    </row>
    <row r="10" spans="1:15" x14ac:dyDescent="0.25">
      <c r="A10" s="164">
        <v>12</v>
      </c>
      <c r="B10" s="57" t="s">
        <v>173</v>
      </c>
      <c r="C10" s="54">
        <v>73399</v>
      </c>
      <c r="D10" s="29">
        <v>109408</v>
      </c>
      <c r="E10" s="155">
        <v>0</v>
      </c>
      <c r="F10" s="2">
        <v>137048</v>
      </c>
      <c r="G10" s="2"/>
      <c r="H10" s="160">
        <f>SUM(D10+G10)/2</f>
        <v>54704</v>
      </c>
      <c r="I10" s="160">
        <f>C10+H10+F10</f>
        <v>265151</v>
      </c>
      <c r="J10" s="161">
        <v>1</v>
      </c>
      <c r="K10" s="2"/>
      <c r="L10" s="2"/>
      <c r="M10" s="74">
        <f t="shared" si="1"/>
        <v>265151</v>
      </c>
      <c r="N10" s="100">
        <f t="shared" si="0"/>
        <v>54704</v>
      </c>
    </row>
    <row r="11" spans="1:15" x14ac:dyDescent="0.25">
      <c r="A11" s="164">
        <v>12</v>
      </c>
      <c r="B11" s="3" t="s">
        <v>174</v>
      </c>
      <c r="C11" s="54"/>
      <c r="D11" s="29"/>
      <c r="E11" s="155">
        <v>15188</v>
      </c>
      <c r="F11" s="2"/>
      <c r="G11" s="2"/>
      <c r="H11" s="160"/>
      <c r="I11" s="160">
        <f>E11</f>
        <v>15188</v>
      </c>
      <c r="J11" s="161">
        <f>J10</f>
        <v>1</v>
      </c>
      <c r="K11" s="2"/>
      <c r="L11" s="2"/>
      <c r="M11" s="74">
        <f t="shared" si="1"/>
        <v>15188</v>
      </c>
      <c r="N11" s="100">
        <f t="shared" si="0"/>
        <v>0</v>
      </c>
    </row>
    <row r="12" spans="1:15" x14ac:dyDescent="0.25">
      <c r="A12" s="59">
        <v>14.1</v>
      </c>
      <c r="B12" s="166" t="s">
        <v>175</v>
      </c>
      <c r="C12" s="54">
        <v>456612</v>
      </c>
      <c r="D12" s="29">
        <v>0</v>
      </c>
      <c r="E12" s="155"/>
      <c r="F12" s="5"/>
      <c r="G12" s="5"/>
      <c r="H12" s="155"/>
      <c r="I12" s="167">
        <f>C12+D12</f>
        <v>456612</v>
      </c>
      <c r="J12" s="168">
        <v>7.0000000000000007E-2</v>
      </c>
      <c r="K12" s="5"/>
      <c r="L12" s="5"/>
      <c r="M12" s="74">
        <f t="shared" si="1"/>
        <v>31962.840000000004</v>
      </c>
      <c r="N12" s="100">
        <f t="shared" si="0"/>
        <v>424649.16</v>
      </c>
    </row>
    <row r="13" spans="1:15" x14ac:dyDescent="0.25">
      <c r="A13" s="59">
        <v>14.1</v>
      </c>
      <c r="B13" s="169" t="s">
        <v>176</v>
      </c>
      <c r="C13" s="54"/>
      <c r="D13" s="29">
        <v>302221</v>
      </c>
      <c r="E13" s="155"/>
      <c r="F13" s="5"/>
      <c r="G13" s="5"/>
      <c r="H13" s="160">
        <f>SUM(D13+G13)/2</f>
        <v>151110.5</v>
      </c>
      <c r="I13" s="167">
        <f>C13+H13</f>
        <v>151110.5</v>
      </c>
      <c r="J13" s="168">
        <v>0.05</v>
      </c>
      <c r="K13" s="5"/>
      <c r="L13" s="5"/>
      <c r="M13" s="74">
        <f t="shared" si="1"/>
        <v>7555.5250000000005</v>
      </c>
      <c r="N13" s="100">
        <f t="shared" si="0"/>
        <v>294665.47499999998</v>
      </c>
    </row>
    <row r="14" spans="1:15" x14ac:dyDescent="0.25">
      <c r="A14" s="59">
        <v>14.1</v>
      </c>
      <c r="B14" s="169" t="s">
        <v>176</v>
      </c>
      <c r="C14" s="54"/>
      <c r="D14" s="29">
        <v>0</v>
      </c>
      <c r="E14" s="155">
        <v>120987</v>
      </c>
      <c r="F14" s="5"/>
      <c r="G14" s="5"/>
      <c r="H14" s="155"/>
      <c r="I14" s="160">
        <f>E14</f>
        <v>120987</v>
      </c>
      <c r="J14" s="161">
        <f>J13*1.5</f>
        <v>7.5000000000000011E-2</v>
      </c>
      <c r="K14" s="5"/>
      <c r="L14" s="5"/>
      <c r="M14" s="74">
        <f t="shared" si="1"/>
        <v>9074.0250000000015</v>
      </c>
      <c r="N14" s="100">
        <f t="shared" si="0"/>
        <v>111912.97500000001</v>
      </c>
    </row>
    <row r="15" spans="1:15" x14ac:dyDescent="0.25">
      <c r="A15" s="164">
        <v>17</v>
      </c>
      <c r="B15" s="57" t="s">
        <v>177</v>
      </c>
      <c r="C15" s="54">
        <v>289883</v>
      </c>
      <c r="D15" s="29">
        <v>0</v>
      </c>
      <c r="E15" s="155"/>
      <c r="F15" s="2"/>
      <c r="G15" s="2"/>
      <c r="H15" s="160">
        <v>0</v>
      </c>
      <c r="I15" s="160">
        <f>C15+D15</f>
        <v>289883</v>
      </c>
      <c r="J15" s="161">
        <v>0.08</v>
      </c>
      <c r="K15" s="2"/>
      <c r="L15" s="170"/>
      <c r="M15" s="74">
        <f t="shared" si="1"/>
        <v>23190.639999999999</v>
      </c>
      <c r="N15" s="100">
        <f t="shared" si="0"/>
        <v>266692.36</v>
      </c>
    </row>
    <row r="16" spans="1:15" x14ac:dyDescent="0.25">
      <c r="A16" s="59">
        <v>43.2</v>
      </c>
      <c r="B16" s="166" t="s">
        <v>178</v>
      </c>
      <c r="C16" s="54">
        <v>27050</v>
      </c>
      <c r="D16" s="29">
        <v>0</v>
      </c>
      <c r="E16" s="155"/>
      <c r="F16" s="5"/>
      <c r="G16" s="5"/>
      <c r="H16" s="155">
        <f>SUM(D16+G16)/2</f>
        <v>0</v>
      </c>
      <c r="I16" s="167">
        <f>C16+H16</f>
        <v>27050</v>
      </c>
      <c r="J16" s="168">
        <v>0.5</v>
      </c>
      <c r="K16" s="5"/>
      <c r="L16" s="5"/>
      <c r="M16" s="74">
        <f t="shared" si="1"/>
        <v>13525</v>
      </c>
      <c r="N16" s="100">
        <f t="shared" si="0"/>
        <v>13525</v>
      </c>
    </row>
    <row r="17" spans="1:14" x14ac:dyDescent="0.25">
      <c r="A17" s="159">
        <v>45</v>
      </c>
      <c r="B17" s="3" t="s">
        <v>179</v>
      </c>
      <c r="C17" s="54">
        <v>310</v>
      </c>
      <c r="D17" s="171">
        <v>0</v>
      </c>
      <c r="E17" s="155"/>
      <c r="F17" s="2"/>
      <c r="G17" s="2"/>
      <c r="H17" s="160">
        <f>SUM(D17+G17)/2</f>
        <v>0</v>
      </c>
      <c r="I17" s="160">
        <f>C17+H17</f>
        <v>310</v>
      </c>
      <c r="J17" s="161">
        <v>0.45</v>
      </c>
      <c r="K17" s="2"/>
      <c r="L17" s="2"/>
      <c r="M17" s="74">
        <f t="shared" si="1"/>
        <v>139.5</v>
      </c>
      <c r="N17" s="100">
        <f t="shared" si="0"/>
        <v>170.5</v>
      </c>
    </row>
    <row r="18" spans="1:14" x14ac:dyDescent="0.25">
      <c r="A18" s="164">
        <v>47</v>
      </c>
      <c r="B18" s="56" t="s">
        <v>180</v>
      </c>
      <c r="C18" s="54">
        <v>39491718</v>
      </c>
      <c r="D18" s="29">
        <v>6168372</v>
      </c>
      <c r="E18" s="155">
        <v>0</v>
      </c>
      <c r="F18" s="2">
        <v>-137048</v>
      </c>
      <c r="G18" s="2">
        <v>0</v>
      </c>
      <c r="H18" s="160">
        <f>SUM(D18+G18)/2</f>
        <v>3084186</v>
      </c>
      <c r="I18" s="160">
        <f>C18+H18+F18</f>
        <v>42438856</v>
      </c>
      <c r="J18" s="161">
        <v>0.08</v>
      </c>
      <c r="K18" s="2"/>
      <c r="L18" s="2"/>
      <c r="M18" s="74">
        <f>I18*J18</f>
        <v>3395108.48</v>
      </c>
      <c r="N18" s="100">
        <f t="shared" si="0"/>
        <v>42127933.520000003</v>
      </c>
    </row>
    <row r="19" spans="1:14" x14ac:dyDescent="0.25">
      <c r="A19" s="164">
        <v>47</v>
      </c>
      <c r="B19" s="56" t="s">
        <v>181</v>
      </c>
      <c r="C19" s="54"/>
      <c r="D19" s="29"/>
      <c r="E19" s="155">
        <v>1017915</v>
      </c>
      <c r="F19" s="2">
        <v>0</v>
      </c>
      <c r="G19" s="2"/>
      <c r="H19" s="160"/>
      <c r="I19" s="160">
        <f>E19</f>
        <v>1017915</v>
      </c>
      <c r="J19" s="161">
        <f>J18*1.5</f>
        <v>0.12</v>
      </c>
      <c r="K19" s="2"/>
      <c r="L19" s="2"/>
      <c r="M19" s="74">
        <f t="shared" si="1"/>
        <v>122149.79999999999</v>
      </c>
      <c r="N19" s="100">
        <f t="shared" si="0"/>
        <v>895765.2</v>
      </c>
    </row>
    <row r="20" spans="1:14" x14ac:dyDescent="0.25">
      <c r="A20" s="159">
        <v>50</v>
      </c>
      <c r="B20" s="3" t="s">
        <v>179</v>
      </c>
      <c r="C20" s="54">
        <v>86109</v>
      </c>
      <c r="D20" s="29">
        <v>16478</v>
      </c>
      <c r="E20" s="155">
        <v>0</v>
      </c>
      <c r="F20" s="2">
        <v>0</v>
      </c>
      <c r="G20" s="2"/>
      <c r="H20" s="167">
        <f>SUM(D20+G20)/2</f>
        <v>8239</v>
      </c>
      <c r="I20" s="167">
        <f>C20+H20+F20</f>
        <v>94348</v>
      </c>
      <c r="J20" s="168">
        <v>0.55000000000000004</v>
      </c>
      <c r="K20" s="2"/>
      <c r="L20" s="2"/>
      <c r="M20" s="92">
        <f>I20*J20</f>
        <v>51891.4</v>
      </c>
      <c r="N20" s="100">
        <f t="shared" si="0"/>
        <v>50695.6</v>
      </c>
    </row>
    <row r="21" spans="1:14" x14ac:dyDescent="0.25">
      <c r="A21" s="172">
        <v>50</v>
      </c>
      <c r="B21" s="3" t="s">
        <v>182</v>
      </c>
      <c r="C21" s="54"/>
      <c r="D21" s="29"/>
      <c r="E21" s="155">
        <v>40552</v>
      </c>
      <c r="F21" s="5"/>
      <c r="G21" s="5"/>
      <c r="H21" s="155"/>
      <c r="I21" s="160">
        <f>E21</f>
        <v>40552</v>
      </c>
      <c r="J21" s="161">
        <f>J20*1.5</f>
        <v>0.82500000000000007</v>
      </c>
      <c r="K21" s="5"/>
      <c r="L21" s="5"/>
      <c r="M21" s="92">
        <f>I21*J21</f>
        <v>33455.4</v>
      </c>
      <c r="N21" s="100">
        <f t="shared" si="0"/>
        <v>7096.5999999999985</v>
      </c>
    </row>
    <row r="22" spans="1:14" ht="15.75" x14ac:dyDescent="0.25">
      <c r="A22" s="173">
        <v>95</v>
      </c>
      <c r="B22" s="60" t="s">
        <v>10</v>
      </c>
      <c r="C22" s="54">
        <v>242557</v>
      </c>
      <c r="D22" s="29">
        <v>710660</v>
      </c>
      <c r="E22" s="155"/>
      <c r="F22" s="2">
        <v>0</v>
      </c>
      <c r="G22" s="174"/>
      <c r="H22" s="167">
        <f>SUM(D22+G22)/2</f>
        <v>355330</v>
      </c>
      <c r="I22" s="155">
        <f>C22+D22+F22</f>
        <v>953217</v>
      </c>
      <c r="J22" s="168">
        <v>0</v>
      </c>
      <c r="K22" s="2"/>
      <c r="L22" s="2"/>
      <c r="M22" s="76">
        <f>I22*J22</f>
        <v>0</v>
      </c>
      <c r="N22" s="100">
        <f>I22-M22</f>
        <v>953217</v>
      </c>
    </row>
    <row r="23" spans="1:14" ht="15.75" thickBot="1" x14ac:dyDescent="0.3">
      <c r="A23" s="61" t="s">
        <v>11</v>
      </c>
      <c r="B23" s="62"/>
      <c r="C23" s="63">
        <f t="shared" ref="C23:I23" si="2">SUM(C4:C22)</f>
        <v>81110599</v>
      </c>
      <c r="D23" s="64">
        <f t="shared" si="2"/>
        <v>7707954</v>
      </c>
      <c r="E23" s="64">
        <f t="shared" si="2"/>
        <v>1403395</v>
      </c>
      <c r="F23" s="23">
        <f t="shared" si="2"/>
        <v>0</v>
      </c>
      <c r="G23" s="27">
        <f t="shared" si="2"/>
        <v>0</v>
      </c>
      <c r="H23" s="63">
        <f t="shared" si="2"/>
        <v>3853977</v>
      </c>
      <c r="I23" s="63">
        <f t="shared" si="2"/>
        <v>86723301</v>
      </c>
      <c r="J23" s="63" t="s">
        <v>0</v>
      </c>
      <c r="K23" s="63">
        <f>SUM(K4:K22)</f>
        <v>0</v>
      </c>
      <c r="L23" s="63">
        <f>SUM(L4:L22)</f>
        <v>0</v>
      </c>
      <c r="M23" s="63">
        <f>SUM(M4:M22)</f>
        <v>6087515.7700000005</v>
      </c>
      <c r="N23" s="63">
        <f>SUM(N4:N22)</f>
        <v>84134432.229999974</v>
      </c>
    </row>
    <row r="24" spans="1:14" ht="15.75" thickTop="1" x14ac:dyDescent="0.25"/>
    <row r="25" spans="1:14" x14ac:dyDescent="0.25">
      <c r="A25" t="s">
        <v>97</v>
      </c>
      <c r="B25" t="s">
        <v>65</v>
      </c>
      <c r="D25" s="175"/>
      <c r="E25" s="175"/>
    </row>
    <row r="26" spans="1:14" ht="45" x14ac:dyDescent="0.25">
      <c r="A26" s="150" t="s">
        <v>2</v>
      </c>
      <c r="B26" s="53" t="s">
        <v>3</v>
      </c>
      <c r="C26" s="53" t="s">
        <v>63</v>
      </c>
      <c r="D26" s="151" t="s">
        <v>183</v>
      </c>
      <c r="E26" s="151" t="s">
        <v>184</v>
      </c>
      <c r="F26" s="151" t="s">
        <v>4</v>
      </c>
      <c r="G26" s="151" t="s">
        <v>12</v>
      </c>
      <c r="H26" s="151" t="s">
        <v>5</v>
      </c>
      <c r="I26" s="151" t="s">
        <v>6</v>
      </c>
      <c r="J26" s="151" t="s">
        <v>57</v>
      </c>
      <c r="K26" s="151" t="s">
        <v>58</v>
      </c>
      <c r="L26" s="151" t="s">
        <v>7</v>
      </c>
      <c r="M26" s="152" t="s">
        <v>64</v>
      </c>
      <c r="N26" s="153" t="s">
        <v>8</v>
      </c>
    </row>
    <row r="27" spans="1:14" x14ac:dyDescent="0.25">
      <c r="A27" s="150"/>
      <c r="B27" s="53"/>
      <c r="C27" s="154"/>
      <c r="D27" s="28"/>
      <c r="E27" s="155"/>
      <c r="F27" s="1"/>
      <c r="G27" s="1"/>
      <c r="H27" s="1"/>
      <c r="I27" s="156"/>
      <c r="J27" s="157"/>
      <c r="K27" s="1"/>
      <c r="L27" s="1"/>
      <c r="M27" s="73"/>
      <c r="N27" s="158"/>
    </row>
    <row r="28" spans="1:14" x14ac:dyDescent="0.25">
      <c r="A28" s="159">
        <v>1</v>
      </c>
      <c r="B28" s="3" t="s">
        <v>168</v>
      </c>
      <c r="C28" s="54">
        <f>N4</f>
        <v>32101264.32</v>
      </c>
      <c r="D28" s="29">
        <v>0</v>
      </c>
      <c r="E28" s="155"/>
      <c r="F28" s="2"/>
      <c r="G28" s="2"/>
      <c r="H28" s="100">
        <f>SUM(D28+G28)/2</f>
        <v>0</v>
      </c>
      <c r="I28" s="160">
        <f>C28+H28</f>
        <v>32101264.32</v>
      </c>
      <c r="J28" s="161">
        <v>0.04</v>
      </c>
      <c r="K28" s="2"/>
      <c r="L28" s="2"/>
      <c r="M28" s="39">
        <f>(I28+C29)*J28/365*90</f>
        <v>317943.07278904109</v>
      </c>
      <c r="N28" s="100">
        <f t="shared" ref="N28:N42" si="3">H28+I28-M28</f>
        <v>31783321.247210961</v>
      </c>
    </row>
    <row r="29" spans="1:14" x14ac:dyDescent="0.25">
      <c r="A29" s="159">
        <v>1</v>
      </c>
      <c r="B29" s="3" t="s">
        <v>169</v>
      </c>
      <c r="C29" s="54">
        <f>N5</f>
        <v>134630.56</v>
      </c>
      <c r="D29" s="29">
        <v>0</v>
      </c>
      <c r="E29" s="155">
        <v>7915</v>
      </c>
      <c r="F29" s="2" t="s">
        <v>0</v>
      </c>
      <c r="G29" s="2"/>
      <c r="H29" s="160">
        <f>SUM(D29+E29+G29)/2</f>
        <v>3957.5</v>
      </c>
      <c r="I29" s="160">
        <f>E29</f>
        <v>7915</v>
      </c>
      <c r="J29" s="161">
        <f>J28*1.5</f>
        <v>0.06</v>
      </c>
      <c r="K29" s="2"/>
      <c r="L29" s="2"/>
      <c r="M29" s="39">
        <f>I29*J29/365*90</f>
        <v>117.0986301369863</v>
      </c>
      <c r="N29" s="160">
        <f>C29+E29-M29</f>
        <v>142428.46136986301</v>
      </c>
    </row>
    <row r="30" spans="1:14" x14ac:dyDescent="0.25">
      <c r="A30" s="162">
        <v>2</v>
      </c>
      <c r="B30" s="3" t="s">
        <v>170</v>
      </c>
      <c r="C30" s="54">
        <f t="shared" ref="C30:C46" si="4">N6</f>
        <v>4652223.5599999996</v>
      </c>
      <c r="D30" s="29">
        <v>0</v>
      </c>
      <c r="E30" s="155">
        <v>0</v>
      </c>
      <c r="F30" s="2"/>
      <c r="G30" s="2"/>
      <c r="H30" s="160">
        <f>SUM(D30+G30)/2</f>
        <v>0</v>
      </c>
      <c r="I30" s="160">
        <f>C30+H30</f>
        <v>4652223.5599999996</v>
      </c>
      <c r="J30" s="161">
        <v>0.06</v>
      </c>
      <c r="K30" s="2"/>
      <c r="L30" s="2"/>
      <c r="M30" s="39">
        <f>(I30*J30)/365*90</f>
        <v>68827.417052054792</v>
      </c>
      <c r="N30" s="100">
        <f t="shared" si="3"/>
        <v>4583396.1429479448</v>
      </c>
    </row>
    <row r="31" spans="1:14" x14ac:dyDescent="0.25">
      <c r="A31" s="164">
        <v>8</v>
      </c>
      <c r="B31" s="56" t="s">
        <v>171</v>
      </c>
      <c r="C31" s="54">
        <f t="shared" si="4"/>
        <v>1996802.3</v>
      </c>
      <c r="D31" s="99">
        <v>0</v>
      </c>
      <c r="E31" s="29">
        <v>0</v>
      </c>
      <c r="F31" s="2"/>
      <c r="G31" s="2"/>
      <c r="H31" s="160">
        <f>SUM(E31+G31)/2</f>
        <v>0</v>
      </c>
      <c r="I31" s="160">
        <f>C31+H31</f>
        <v>1996802.3</v>
      </c>
      <c r="J31" s="161">
        <v>0.2</v>
      </c>
      <c r="K31" s="2"/>
      <c r="L31" s="2"/>
      <c r="M31" s="39">
        <f>(I31+C32)*J31/365*90</f>
        <v>100734.53917808221</v>
      </c>
      <c r="N31" s="100">
        <f t="shared" si="3"/>
        <v>1896067.7608219178</v>
      </c>
    </row>
    <row r="32" spans="1:14" x14ac:dyDescent="0.25">
      <c r="A32" s="164">
        <v>8</v>
      </c>
      <c r="B32" s="56" t="s">
        <v>62</v>
      </c>
      <c r="C32" s="54">
        <f t="shared" si="4"/>
        <v>45870.299999999996</v>
      </c>
      <c r="D32" s="29">
        <v>0</v>
      </c>
      <c r="E32" s="155">
        <v>30502</v>
      </c>
      <c r="F32" s="2"/>
      <c r="G32" s="2"/>
      <c r="H32" s="160">
        <f>SUM(D32+E32+G32)/2</f>
        <v>15251</v>
      </c>
      <c r="I32" s="160">
        <f>E32</f>
        <v>30502</v>
      </c>
      <c r="J32" s="161">
        <f>J31*1.5</f>
        <v>0.30000000000000004</v>
      </c>
      <c r="K32" s="2"/>
      <c r="L32" s="2"/>
      <c r="M32" s="39">
        <f>(I32*J32)/365*90</f>
        <v>2256.3123287671237</v>
      </c>
      <c r="N32" s="160">
        <f>C32+E32-M32</f>
        <v>74115.98767123287</v>
      </c>
    </row>
    <row r="33" spans="1:14" x14ac:dyDescent="0.25">
      <c r="A33" s="159">
        <v>10</v>
      </c>
      <c r="B33" s="3" t="s">
        <v>172</v>
      </c>
      <c r="C33" s="54">
        <f t="shared" si="4"/>
        <v>2613.8000000000002</v>
      </c>
      <c r="D33" s="29">
        <v>0</v>
      </c>
      <c r="E33" s="155"/>
      <c r="F33" s="2"/>
      <c r="G33" s="2">
        <v>0</v>
      </c>
      <c r="H33" s="100">
        <f>SUM(D33+G33)/2</f>
        <v>0</v>
      </c>
      <c r="I33" s="160">
        <f>C33+H33</f>
        <v>2613.8000000000002</v>
      </c>
      <c r="J33" s="161">
        <v>0.3</v>
      </c>
      <c r="K33" s="2"/>
      <c r="L33" s="2"/>
      <c r="M33" s="39">
        <f>(I33*J33)/365*90</f>
        <v>193.3495890410959</v>
      </c>
      <c r="N33" s="100">
        <f t="shared" si="3"/>
        <v>2420.4504109589043</v>
      </c>
    </row>
    <row r="34" spans="1:14" x14ac:dyDescent="0.25">
      <c r="A34" s="164">
        <v>12</v>
      </c>
      <c r="B34" s="57" t="s">
        <v>173</v>
      </c>
      <c r="C34" s="54">
        <f t="shared" si="4"/>
        <v>54704</v>
      </c>
      <c r="D34" s="29">
        <v>0</v>
      </c>
      <c r="E34" s="155">
        <v>0</v>
      </c>
      <c r="F34" s="2"/>
      <c r="G34" s="2"/>
      <c r="H34" s="100"/>
      <c r="I34" s="160">
        <f>C34+E34+H34</f>
        <v>54704</v>
      </c>
      <c r="J34" s="161">
        <v>1</v>
      </c>
      <c r="K34" s="2"/>
      <c r="L34" s="2"/>
      <c r="M34" s="39">
        <f>(I34+C35)*J34/365*90</f>
        <v>13488.657534246575</v>
      </c>
      <c r="N34" s="100">
        <f t="shared" si="3"/>
        <v>41215.342465753427</v>
      </c>
    </row>
    <row r="35" spans="1:14" x14ac:dyDescent="0.25">
      <c r="A35" s="164">
        <v>12</v>
      </c>
      <c r="B35" s="3" t="s">
        <v>174</v>
      </c>
      <c r="C35" s="54">
        <f t="shared" si="4"/>
        <v>0</v>
      </c>
      <c r="D35" s="29">
        <v>0</v>
      </c>
      <c r="E35" s="155">
        <v>8866</v>
      </c>
      <c r="F35" s="2"/>
      <c r="G35" s="2"/>
      <c r="H35" s="100">
        <f>SUM(D35+G35)/2</f>
        <v>0</v>
      </c>
      <c r="I35" s="160">
        <f>E35</f>
        <v>8866</v>
      </c>
      <c r="J35" s="161">
        <f>J34</f>
        <v>1</v>
      </c>
      <c r="K35" s="2"/>
      <c r="L35" s="2"/>
      <c r="M35" s="39">
        <f>(I35*J35)/365*90</f>
        <v>2186.1369863013701</v>
      </c>
      <c r="N35" s="160">
        <f>C35+E35-M35</f>
        <v>6679.8630136986303</v>
      </c>
    </row>
    <row r="36" spans="1:14" x14ac:dyDescent="0.25">
      <c r="A36" s="59">
        <v>14.1</v>
      </c>
      <c r="B36" s="3" t="s">
        <v>175</v>
      </c>
      <c r="C36" s="54">
        <f t="shared" si="4"/>
        <v>424649.16</v>
      </c>
      <c r="D36" s="29">
        <v>0</v>
      </c>
      <c r="E36" s="155"/>
      <c r="F36" s="2"/>
      <c r="G36" s="2"/>
      <c r="H36" s="100">
        <f>SUM(D36+G36)/2</f>
        <v>0</v>
      </c>
      <c r="I36" s="167">
        <f>C36+D36</f>
        <v>424649.16</v>
      </c>
      <c r="J36" s="168">
        <v>7.0000000000000007E-2</v>
      </c>
      <c r="K36" s="2"/>
      <c r="L36" s="2"/>
      <c r="M36" s="39">
        <f>(I36*J36)/365*90</f>
        <v>7329.5608438356167</v>
      </c>
      <c r="N36" s="100">
        <f t="shared" si="3"/>
        <v>417319.59915616433</v>
      </c>
    </row>
    <row r="37" spans="1:14" x14ac:dyDescent="0.25">
      <c r="A37" s="59">
        <v>14.1</v>
      </c>
      <c r="B37" s="3" t="s">
        <v>176</v>
      </c>
      <c r="C37" s="54">
        <f t="shared" si="4"/>
        <v>294665.47499999998</v>
      </c>
      <c r="D37" s="29">
        <v>0</v>
      </c>
      <c r="E37" s="155"/>
      <c r="F37" s="2"/>
      <c r="G37" s="2"/>
      <c r="H37" s="100">
        <f>SUM(D37+G37)/2</f>
        <v>0</v>
      </c>
      <c r="I37" s="167">
        <f>C37+H37</f>
        <v>294665.47499999998</v>
      </c>
      <c r="J37" s="168">
        <v>0.05</v>
      </c>
      <c r="K37" s="2"/>
      <c r="L37" s="2"/>
      <c r="M37" s="39">
        <f>(I37+C38)*J37/365*90</f>
        <v>5012.6110273972608</v>
      </c>
      <c r="N37" s="100">
        <f t="shared" si="3"/>
        <v>289652.8639726027</v>
      </c>
    </row>
    <row r="38" spans="1:14" x14ac:dyDescent="0.25">
      <c r="A38" s="59">
        <v>14.1</v>
      </c>
      <c r="B38" s="3" t="s">
        <v>185</v>
      </c>
      <c r="C38" s="54">
        <f t="shared" si="4"/>
        <v>111912.97500000001</v>
      </c>
      <c r="D38" s="29">
        <v>0</v>
      </c>
      <c r="E38" s="155">
        <v>218802</v>
      </c>
      <c r="F38" s="2"/>
      <c r="G38" s="2"/>
      <c r="H38" s="160">
        <f>SUM(D38+E38+G38)/2</f>
        <v>109401</v>
      </c>
      <c r="I38" s="160">
        <f>E38</f>
        <v>218802</v>
      </c>
      <c r="J38" s="161">
        <f>J37*1.5</f>
        <v>7.5000000000000011E-2</v>
      </c>
      <c r="K38" s="2"/>
      <c r="L38" s="2"/>
      <c r="M38" s="39">
        <f>(I38*J38)/365*90</f>
        <v>4046.3383561643841</v>
      </c>
      <c r="N38" s="160">
        <f>C38+E38-M38</f>
        <v>326668.63664383558</v>
      </c>
    </row>
    <row r="39" spans="1:14" x14ac:dyDescent="0.25">
      <c r="A39" s="164">
        <v>17</v>
      </c>
      <c r="B39" s="3" t="s">
        <v>177</v>
      </c>
      <c r="C39" s="54">
        <f t="shared" si="4"/>
        <v>266692.36</v>
      </c>
      <c r="D39" s="99">
        <v>0</v>
      </c>
      <c r="E39" s="29"/>
      <c r="F39" s="2"/>
      <c r="G39" s="2"/>
      <c r="H39" s="160">
        <f>SUM(E39+G39)/2</f>
        <v>0</v>
      </c>
      <c r="I39" s="160">
        <f>C39+D39</f>
        <v>266692.36</v>
      </c>
      <c r="J39" s="161">
        <v>0.08</v>
      </c>
      <c r="K39" s="2"/>
      <c r="L39" s="2"/>
      <c r="M39" s="39">
        <f>(I39*J39)/365*90</f>
        <v>5260.7807999999995</v>
      </c>
      <c r="N39" s="100">
        <f t="shared" si="3"/>
        <v>261431.57919999998</v>
      </c>
    </row>
    <row r="40" spans="1:14" x14ac:dyDescent="0.25">
      <c r="A40" s="59">
        <v>43.2</v>
      </c>
      <c r="B40" s="3" t="s">
        <v>178</v>
      </c>
      <c r="C40" s="54">
        <f t="shared" si="4"/>
        <v>13525</v>
      </c>
      <c r="D40" s="29">
        <v>0</v>
      </c>
      <c r="E40" s="155"/>
      <c r="F40" s="2"/>
      <c r="G40" s="2"/>
      <c r="H40" s="160"/>
      <c r="I40" s="167">
        <f>C40+H40</f>
        <v>13525</v>
      </c>
      <c r="J40" s="168">
        <v>0.5</v>
      </c>
      <c r="K40" s="2"/>
      <c r="L40" s="2"/>
      <c r="M40" s="39">
        <f>(I40*J40)/365*90</f>
        <v>1667.4657534246576</v>
      </c>
      <c r="N40" s="100">
        <f t="shared" si="3"/>
        <v>11857.534246575342</v>
      </c>
    </row>
    <row r="41" spans="1:14" x14ac:dyDescent="0.25">
      <c r="A41" s="159">
        <v>45</v>
      </c>
      <c r="B41" s="3" t="s">
        <v>179</v>
      </c>
      <c r="C41" s="54">
        <f t="shared" si="4"/>
        <v>170.5</v>
      </c>
      <c r="D41" s="29">
        <v>0</v>
      </c>
      <c r="E41" s="155"/>
      <c r="F41" s="2"/>
      <c r="G41" s="2"/>
      <c r="H41" s="160">
        <v>0</v>
      </c>
      <c r="I41" s="160">
        <f>C41+H41</f>
        <v>170.5</v>
      </c>
      <c r="J41" s="161">
        <v>0.45</v>
      </c>
      <c r="K41" s="2"/>
      <c r="L41" s="170"/>
      <c r="M41" s="39">
        <f>(I41*J41)/365*90</f>
        <v>18.918493150684935</v>
      </c>
      <c r="N41" s="100">
        <f t="shared" si="3"/>
        <v>151.58150684931508</v>
      </c>
    </row>
    <row r="42" spans="1:14" x14ac:dyDescent="0.25">
      <c r="A42" s="164">
        <v>47</v>
      </c>
      <c r="B42" s="3" t="s">
        <v>180</v>
      </c>
      <c r="C42" s="54">
        <f t="shared" si="4"/>
        <v>42127933.520000003</v>
      </c>
      <c r="D42" s="29">
        <v>0</v>
      </c>
      <c r="E42" s="155"/>
      <c r="F42" s="2"/>
      <c r="G42" s="2"/>
      <c r="H42" s="160">
        <f>SUM(D42+G42)/2</f>
        <v>0</v>
      </c>
      <c r="I42" s="160">
        <f>C42+H42+F42</f>
        <v>42127933.520000003</v>
      </c>
      <c r="J42" s="161">
        <v>0.08</v>
      </c>
      <c r="K42" s="2"/>
      <c r="L42" s="2"/>
      <c r="M42" s="39">
        <f>(I42+C43)*J42/365*90</f>
        <v>848686.65968219191</v>
      </c>
      <c r="N42" s="100">
        <f t="shared" si="3"/>
        <v>41279246.860317811</v>
      </c>
    </row>
    <row r="43" spans="1:14" x14ac:dyDescent="0.25">
      <c r="A43" s="164">
        <v>47</v>
      </c>
      <c r="B43" s="3" t="s">
        <v>181</v>
      </c>
      <c r="C43" s="54">
        <f t="shared" si="4"/>
        <v>895765.2</v>
      </c>
      <c r="D43" s="171">
        <v>0</v>
      </c>
      <c r="E43" s="155">
        <v>1255609</v>
      </c>
      <c r="F43" s="2"/>
      <c r="G43" s="2"/>
      <c r="H43" s="160">
        <f>SUM(D43+E43+G43)/2</f>
        <v>627804.5</v>
      </c>
      <c r="I43" s="160">
        <f>E43</f>
        <v>1255609</v>
      </c>
      <c r="J43" s="161">
        <f>J42*1.5</f>
        <v>0.12</v>
      </c>
      <c r="K43" s="2"/>
      <c r="L43" s="2"/>
      <c r="M43" s="39">
        <f>(I43*J43)/365*90</f>
        <v>37152.266301369862</v>
      </c>
      <c r="N43" s="160">
        <f>C43+E43-M43</f>
        <v>2114221.9336986304</v>
      </c>
    </row>
    <row r="44" spans="1:14" x14ac:dyDescent="0.25">
      <c r="A44" s="159">
        <v>50</v>
      </c>
      <c r="B44" s="3" t="s">
        <v>179</v>
      </c>
      <c r="C44" s="54">
        <f t="shared" si="4"/>
        <v>50695.6</v>
      </c>
      <c r="D44" s="99">
        <v>0</v>
      </c>
      <c r="E44" s="29"/>
      <c r="F44" s="2">
        <v>0</v>
      </c>
      <c r="G44" s="99">
        <v>0</v>
      </c>
      <c r="H44" s="160">
        <v>0</v>
      </c>
      <c r="I44" s="167">
        <f>C44+H44+F44</f>
        <v>50695.6</v>
      </c>
      <c r="J44" s="168">
        <v>0.55000000000000004</v>
      </c>
      <c r="K44" s="2"/>
      <c r="L44" s="2"/>
      <c r="M44" s="39">
        <f>(I44+C45)*J44/365*90</f>
        <v>7837.5723287671235</v>
      </c>
      <c r="N44" s="100">
        <f>H44+I44-M44</f>
        <v>42858.027671232878</v>
      </c>
    </row>
    <row r="45" spans="1:14" x14ac:dyDescent="0.25">
      <c r="A45" s="172">
        <v>50</v>
      </c>
      <c r="B45" s="3" t="s">
        <v>182</v>
      </c>
      <c r="C45" s="54">
        <f t="shared" si="4"/>
        <v>7096.5999999999985</v>
      </c>
      <c r="D45" s="29">
        <v>0</v>
      </c>
      <c r="E45" s="155">
        <v>1201</v>
      </c>
      <c r="F45" s="2"/>
      <c r="G45" s="2">
        <v>0</v>
      </c>
      <c r="H45" s="160">
        <f>SUM(D45+E45+G45)/2</f>
        <v>600.5</v>
      </c>
      <c r="I45" s="160">
        <f>E45</f>
        <v>1201</v>
      </c>
      <c r="J45" s="161">
        <f>J44*1.5</f>
        <v>0.82500000000000007</v>
      </c>
      <c r="K45" s="2"/>
      <c r="L45" s="2"/>
      <c r="M45" s="39">
        <f>(I45*J45)/365*90</f>
        <v>244.31301369863013</v>
      </c>
      <c r="N45" s="100">
        <f>C45+E45-M45</f>
        <v>8053.2869863013684</v>
      </c>
    </row>
    <row r="46" spans="1:14" x14ac:dyDescent="0.25">
      <c r="A46" s="173">
        <v>95</v>
      </c>
      <c r="B46" s="60" t="s">
        <v>10</v>
      </c>
      <c r="C46" s="54">
        <f t="shared" si="4"/>
        <v>953217</v>
      </c>
      <c r="D46" s="29">
        <v>0</v>
      </c>
      <c r="E46" s="29">
        <v>1372928</v>
      </c>
      <c r="F46" s="2">
        <v>0</v>
      </c>
      <c r="G46" s="2"/>
      <c r="H46" s="167">
        <f>SUM(E46+G46)/2</f>
        <v>686464</v>
      </c>
      <c r="I46" s="155">
        <f>C46+E46+F46</f>
        <v>2326145</v>
      </c>
      <c r="J46" s="168">
        <v>0</v>
      </c>
      <c r="K46" s="2"/>
      <c r="L46" s="2"/>
      <c r="M46" s="39">
        <f>(I46*J46)/365*90</f>
        <v>0</v>
      </c>
      <c r="N46" s="100">
        <f>I46-M46</f>
        <v>2326145</v>
      </c>
    </row>
    <row r="47" spans="1:14" ht="15.75" thickBot="1" x14ac:dyDescent="0.3">
      <c r="A47" s="61" t="s">
        <v>11</v>
      </c>
      <c r="B47" s="62"/>
      <c r="C47" s="63">
        <f t="shared" ref="C47:I47" si="5">SUM(C28:C46)</f>
        <v>84134432.229999974</v>
      </c>
      <c r="D47" s="64">
        <f t="shared" si="5"/>
        <v>0</v>
      </c>
      <c r="E47" s="64">
        <f>SUM(E28:E46)</f>
        <v>2895823</v>
      </c>
      <c r="F47" s="23">
        <f t="shared" si="5"/>
        <v>0</v>
      </c>
      <c r="G47" s="27">
        <f t="shared" si="5"/>
        <v>0</v>
      </c>
      <c r="H47" s="63">
        <f t="shared" si="5"/>
        <v>1443478.5</v>
      </c>
      <c r="I47" s="63">
        <f t="shared" si="5"/>
        <v>85834979.594999999</v>
      </c>
      <c r="J47" s="63" t="s">
        <v>0</v>
      </c>
      <c r="K47" s="63">
        <f>SUM(K28:K46)</f>
        <v>0</v>
      </c>
      <c r="L47" s="63">
        <f>SUM(L28:L46)</f>
        <v>0</v>
      </c>
      <c r="M47" s="63">
        <f>SUM(M28:M46)</f>
        <v>1423003.0706876712</v>
      </c>
      <c r="N47" s="63">
        <f>SUM(N28:N46)</f>
        <v>85607252.159312338</v>
      </c>
    </row>
    <row r="48" spans="1:14" ht="15.75" thickTop="1" x14ac:dyDescent="0.25"/>
    <row r="49" spans="1:14" x14ac:dyDescent="0.25">
      <c r="A49">
        <v>2019</v>
      </c>
      <c r="B49" t="s">
        <v>65</v>
      </c>
    </row>
    <row r="50" spans="1:14" ht="45" x14ac:dyDescent="0.25">
      <c r="A50" s="150" t="s">
        <v>2</v>
      </c>
      <c r="B50" s="53" t="s">
        <v>3</v>
      </c>
      <c r="C50" s="53" t="s">
        <v>63</v>
      </c>
      <c r="D50" s="151" t="s">
        <v>183</v>
      </c>
      <c r="E50" s="151" t="s">
        <v>184</v>
      </c>
      <c r="F50" s="151" t="s">
        <v>4</v>
      </c>
      <c r="G50" s="151" t="s">
        <v>12</v>
      </c>
      <c r="H50" s="151" t="s">
        <v>5</v>
      </c>
      <c r="I50" s="151" t="s">
        <v>6</v>
      </c>
      <c r="J50" s="151" t="s">
        <v>57</v>
      </c>
      <c r="K50" s="151" t="s">
        <v>58</v>
      </c>
      <c r="L50" s="151" t="s">
        <v>7</v>
      </c>
      <c r="M50" s="152" t="s">
        <v>100</v>
      </c>
      <c r="N50" s="153" t="s">
        <v>8</v>
      </c>
    </row>
    <row r="51" spans="1:14" x14ac:dyDescent="0.25">
      <c r="A51" s="150"/>
      <c r="B51" s="53"/>
      <c r="C51" s="154"/>
      <c r="D51" s="28"/>
      <c r="E51" s="155"/>
      <c r="F51" s="1"/>
      <c r="G51" s="1"/>
      <c r="H51" s="1"/>
      <c r="I51" s="156"/>
      <c r="J51" s="157"/>
      <c r="K51" s="1"/>
      <c r="L51" s="1"/>
      <c r="M51" s="73"/>
      <c r="N51" s="158"/>
    </row>
    <row r="52" spans="1:14" x14ac:dyDescent="0.25">
      <c r="A52" s="159">
        <v>1</v>
      </c>
      <c r="B52" s="3" t="s">
        <v>168</v>
      </c>
      <c r="C52" s="54">
        <f>N28</f>
        <v>31783321.247210961</v>
      </c>
      <c r="D52" s="29">
        <v>0</v>
      </c>
      <c r="E52" s="155"/>
      <c r="F52" s="2"/>
      <c r="G52" s="2"/>
      <c r="H52" s="100">
        <f>SUM(D52+G52)/2</f>
        <v>0</v>
      </c>
      <c r="I52" s="160">
        <f>C52+H52</f>
        <v>31783321.247210961</v>
      </c>
      <c r="J52" s="161">
        <v>0.04</v>
      </c>
      <c r="K52" s="2"/>
      <c r="L52" s="2"/>
      <c r="M52" s="39">
        <f>(I52+C53)*J52/365*275</f>
        <v>962145.88162846328</v>
      </c>
      <c r="N52" s="100">
        <f>H52+I52-M52</f>
        <v>30821175.365582496</v>
      </c>
    </row>
    <row r="53" spans="1:14" x14ac:dyDescent="0.25">
      <c r="A53" s="159">
        <v>1</v>
      </c>
      <c r="B53" s="3" t="s">
        <v>169</v>
      </c>
      <c r="C53" s="54">
        <f t="shared" ref="C53:C69" si="6">N29</f>
        <v>142428.46136986301</v>
      </c>
      <c r="D53" s="29">
        <v>0</v>
      </c>
      <c r="E53" s="155">
        <v>197199.21</v>
      </c>
      <c r="F53" s="2" t="s">
        <v>0</v>
      </c>
      <c r="G53" s="2"/>
      <c r="H53" s="160">
        <f>SUM(D53+E53+G53)/2</f>
        <v>98599.604999999996</v>
      </c>
      <c r="I53" s="160">
        <f>E53</f>
        <v>197199.21</v>
      </c>
      <c r="J53" s="161">
        <f>J52*1.5</f>
        <v>0.06</v>
      </c>
      <c r="K53" s="2"/>
      <c r="L53" s="2"/>
      <c r="M53" s="39">
        <f>I53*J53/365*275</f>
        <v>8914.4848356164366</v>
      </c>
      <c r="N53" s="160">
        <f>C53+E53-M53</f>
        <v>330713.18653424655</v>
      </c>
    </row>
    <row r="54" spans="1:14" x14ac:dyDescent="0.25">
      <c r="A54" s="162">
        <v>2</v>
      </c>
      <c r="B54" s="3" t="s">
        <v>170</v>
      </c>
      <c r="C54" s="54">
        <f t="shared" si="6"/>
        <v>4583396.1429479448</v>
      </c>
      <c r="D54" s="29">
        <v>0</v>
      </c>
      <c r="E54" s="155"/>
      <c r="F54" s="2"/>
      <c r="G54" s="2"/>
      <c r="H54" s="160">
        <f>SUM(D54+G54)/2</f>
        <v>0</v>
      </c>
      <c r="I54" s="160">
        <f>C54+H54</f>
        <v>4583396.1429479448</v>
      </c>
      <c r="J54" s="161">
        <v>0.06</v>
      </c>
      <c r="K54" s="2"/>
      <c r="L54" s="2"/>
      <c r="M54" s="39">
        <f>(I54*J54)/365*275</f>
        <v>207194.6201606605</v>
      </c>
      <c r="N54" s="100">
        <f>H54+I54-M54</f>
        <v>4376201.5227872841</v>
      </c>
    </row>
    <row r="55" spans="1:14" x14ac:dyDescent="0.25">
      <c r="A55" s="164">
        <v>8</v>
      </c>
      <c r="B55" s="56" t="s">
        <v>171</v>
      </c>
      <c r="C55" s="54">
        <f t="shared" si="6"/>
        <v>1896067.7608219178</v>
      </c>
      <c r="D55" s="99">
        <v>0</v>
      </c>
      <c r="E55" s="29"/>
      <c r="F55" s="2">
        <v>444914</v>
      </c>
      <c r="G55" s="2"/>
      <c r="H55" s="160">
        <f>SUM(E55+G55)/2</f>
        <v>0</v>
      </c>
      <c r="I55" s="160">
        <f>C55+F55+H55</f>
        <v>2340981.760821918</v>
      </c>
      <c r="J55" s="161">
        <v>0.2</v>
      </c>
      <c r="K55" s="2"/>
      <c r="L55" s="2"/>
      <c r="M55" s="39">
        <f>(I55+C56)*J55/365*275</f>
        <v>363918.8388140364</v>
      </c>
      <c r="N55" s="100">
        <f>H55+I55-M55</f>
        <v>1977062.9220078816</v>
      </c>
    </row>
    <row r="56" spans="1:14" x14ac:dyDescent="0.25">
      <c r="A56" s="164">
        <v>8</v>
      </c>
      <c r="B56" s="56" t="s">
        <v>62</v>
      </c>
      <c r="C56" s="54">
        <f t="shared" si="6"/>
        <v>74115.98767123287</v>
      </c>
      <c r="D56" s="29">
        <v>0</v>
      </c>
      <c r="E56" s="155">
        <v>164902.79</v>
      </c>
      <c r="F56" s="2"/>
      <c r="G56" s="2"/>
      <c r="H56" s="160">
        <f>SUM(D56+E56+G56)/2</f>
        <v>82451.395000000004</v>
      </c>
      <c r="I56" s="160">
        <f>E56</f>
        <v>164902.79</v>
      </c>
      <c r="J56" s="161">
        <f>J55*1.5</f>
        <v>0.30000000000000004</v>
      </c>
      <c r="K56" s="2"/>
      <c r="L56" s="2"/>
      <c r="M56" s="39">
        <f>(I56*J56)/365*275</f>
        <v>37272.548424657543</v>
      </c>
      <c r="N56" s="160">
        <f>C56+E56-M56</f>
        <v>201746.22924657533</v>
      </c>
    </row>
    <row r="57" spans="1:14" x14ac:dyDescent="0.25">
      <c r="A57" s="159">
        <v>10</v>
      </c>
      <c r="B57" s="3" t="s">
        <v>172</v>
      </c>
      <c r="C57" s="54">
        <f t="shared" si="6"/>
        <v>2420.4504109589043</v>
      </c>
      <c r="D57" s="29">
        <v>0</v>
      </c>
      <c r="E57" s="155"/>
      <c r="F57" s="2"/>
      <c r="G57" s="2">
        <v>0</v>
      </c>
      <c r="H57" s="100">
        <f>SUM(D57+G57)/2</f>
        <v>0</v>
      </c>
      <c r="I57" s="160">
        <f>C57+H57</f>
        <v>2420.4504109589043</v>
      </c>
      <c r="J57" s="161">
        <v>0.3</v>
      </c>
      <c r="K57" s="2"/>
      <c r="L57" s="2"/>
      <c r="M57" s="39">
        <f>(I57*J57)/365*275</f>
        <v>547.08810658660161</v>
      </c>
      <c r="N57" s="100">
        <f>H57+I57-M57</f>
        <v>1873.3623043723028</v>
      </c>
    </row>
    <row r="58" spans="1:14" x14ac:dyDescent="0.25">
      <c r="A58" s="164">
        <v>12</v>
      </c>
      <c r="B58" s="57" t="s">
        <v>173</v>
      </c>
      <c r="C58" s="54">
        <f t="shared" si="6"/>
        <v>41215.342465753427</v>
      </c>
      <c r="D58" s="29">
        <v>0</v>
      </c>
      <c r="E58" s="155"/>
      <c r="F58" s="2"/>
      <c r="G58" s="2"/>
      <c r="H58" s="100"/>
      <c r="I58" s="160">
        <f>C58+E58+H58</f>
        <v>41215.342465753427</v>
      </c>
      <c r="J58" s="161">
        <v>1</v>
      </c>
      <c r="K58" s="2"/>
      <c r="L58" s="2"/>
      <c r="M58" s="39">
        <f>(I58+C59)*J58/365*275</f>
        <v>36085.428785888536</v>
      </c>
      <c r="N58" s="100">
        <f>H58+I58-M58</f>
        <v>5129.9136798648906</v>
      </c>
    </row>
    <row r="59" spans="1:14" x14ac:dyDescent="0.25">
      <c r="A59" s="164">
        <v>12</v>
      </c>
      <c r="B59" s="3" t="s">
        <v>174</v>
      </c>
      <c r="C59" s="54">
        <f t="shared" si="6"/>
        <v>6679.8630136986303</v>
      </c>
      <c r="D59" s="29">
        <v>0</v>
      </c>
      <c r="E59" s="155">
        <v>22579</v>
      </c>
      <c r="F59" s="2"/>
      <c r="G59" s="2"/>
      <c r="H59" s="100">
        <f>SUM(D59+G59)/2</f>
        <v>0</v>
      </c>
      <c r="I59" s="160">
        <f>E59</f>
        <v>22579</v>
      </c>
      <c r="J59" s="161">
        <f>J58</f>
        <v>1</v>
      </c>
      <c r="K59" s="2"/>
      <c r="L59" s="2"/>
      <c r="M59" s="39">
        <f>(I59*J59)/365*275</f>
        <v>17011.575342465752</v>
      </c>
      <c r="N59" s="160">
        <f>C59+E59-M59</f>
        <v>12247.28767123288</v>
      </c>
    </row>
    <row r="60" spans="1:14" x14ac:dyDescent="0.25">
      <c r="A60" s="59">
        <v>14.1</v>
      </c>
      <c r="B60" s="3" t="s">
        <v>175</v>
      </c>
      <c r="C60" s="54">
        <f t="shared" si="6"/>
        <v>417319.59915616433</v>
      </c>
      <c r="D60" s="29">
        <v>0</v>
      </c>
      <c r="E60" s="155"/>
      <c r="F60" s="2"/>
      <c r="G60" s="2"/>
      <c r="H60" s="100">
        <f>SUM(D60+G60)/2</f>
        <v>0</v>
      </c>
      <c r="I60" s="167">
        <f>C60+D60</f>
        <v>417319.59915616433</v>
      </c>
      <c r="J60" s="168">
        <v>7.0000000000000007E-2</v>
      </c>
      <c r="K60" s="2"/>
      <c r="L60" s="2"/>
      <c r="M60" s="39">
        <f>(I60*J60)/365*275</f>
        <v>22009.321325359353</v>
      </c>
      <c r="N60" s="100">
        <f>H60+I60-M60</f>
        <v>395310.27783080499</v>
      </c>
    </row>
    <row r="61" spans="1:14" x14ac:dyDescent="0.25">
      <c r="A61" s="59">
        <v>14.1</v>
      </c>
      <c r="B61" s="3" t="s">
        <v>176</v>
      </c>
      <c r="C61" s="54">
        <f t="shared" si="6"/>
        <v>289652.8639726027</v>
      </c>
      <c r="D61" s="29">
        <v>0</v>
      </c>
      <c r="E61" s="155"/>
      <c r="F61" s="2"/>
      <c r="G61" s="2"/>
      <c r="H61" s="100">
        <f>SUM(D61+G61)/2</f>
        <v>0</v>
      </c>
      <c r="I61" s="167">
        <f>C61+H61</f>
        <v>289652.8639726027</v>
      </c>
      <c r="J61" s="168">
        <v>0.05</v>
      </c>
      <c r="K61" s="2"/>
      <c r="L61" s="2"/>
      <c r="M61" s="39">
        <f>(I61+C62)*J61/365*275</f>
        <v>23217.590776646648</v>
      </c>
      <c r="N61" s="100">
        <f>H61+I61-M61</f>
        <v>266435.27319595608</v>
      </c>
    </row>
    <row r="62" spans="1:14" x14ac:dyDescent="0.25">
      <c r="A62" s="59">
        <v>14.1</v>
      </c>
      <c r="B62" s="3" t="s">
        <v>185</v>
      </c>
      <c r="C62" s="54">
        <f t="shared" si="6"/>
        <v>326668.63664383558</v>
      </c>
      <c r="D62" s="29">
        <v>0</v>
      </c>
      <c r="E62" s="155"/>
      <c r="F62" s="2"/>
      <c r="G62" s="2"/>
      <c r="H62" s="160">
        <f>SUM(D62+E62+G62)/2</f>
        <v>0</v>
      </c>
      <c r="I62" s="160">
        <f>E62</f>
        <v>0</v>
      </c>
      <c r="J62" s="161">
        <f>J61*1.5</f>
        <v>7.5000000000000011E-2</v>
      </c>
      <c r="K62" s="2"/>
      <c r="L62" s="2"/>
      <c r="M62" s="39">
        <f>(I62*J62)/365*275</f>
        <v>0</v>
      </c>
      <c r="N62" s="160">
        <f>C62+E62-M62</f>
        <v>326668.63664383558</v>
      </c>
    </row>
    <row r="63" spans="1:14" x14ac:dyDescent="0.25">
      <c r="A63" s="164">
        <v>17</v>
      </c>
      <c r="B63" s="3" t="s">
        <v>177</v>
      </c>
      <c r="C63" s="54">
        <f t="shared" si="6"/>
        <v>261431.57919999998</v>
      </c>
      <c r="D63" s="99">
        <v>0</v>
      </c>
      <c r="E63" s="29"/>
      <c r="F63" s="2"/>
      <c r="G63" s="2"/>
      <c r="H63" s="160">
        <f>SUM(E63+G63)/2</f>
        <v>0</v>
      </c>
      <c r="I63" s="160">
        <f>C63+D63</f>
        <v>261431.57919999998</v>
      </c>
      <c r="J63" s="161">
        <v>0.08</v>
      </c>
      <c r="K63" s="2"/>
      <c r="L63" s="2"/>
      <c r="M63" s="39">
        <f>(I63*J63)/365*275</f>
        <v>15757.519842191781</v>
      </c>
      <c r="N63" s="100">
        <f>H63+I63-M63</f>
        <v>245674.0593578082</v>
      </c>
    </row>
    <row r="64" spans="1:14" x14ac:dyDescent="0.25">
      <c r="A64" s="59">
        <v>43.2</v>
      </c>
      <c r="B64" s="3" t="s">
        <v>178</v>
      </c>
      <c r="C64" s="54">
        <f t="shared" si="6"/>
        <v>11857.534246575342</v>
      </c>
      <c r="D64" s="29">
        <v>0</v>
      </c>
      <c r="E64" s="155"/>
      <c r="F64" s="2"/>
      <c r="G64" s="2"/>
      <c r="H64" s="160"/>
      <c r="I64" s="167">
        <f>C64+H64</f>
        <v>11857.534246575342</v>
      </c>
      <c r="J64" s="168">
        <v>0.5</v>
      </c>
      <c r="K64" s="2"/>
      <c r="L64" s="2"/>
      <c r="M64" s="39">
        <f>(I64*J64)/365*275</f>
        <v>4466.879339463314</v>
      </c>
      <c r="N64" s="100">
        <f>H64+I64-M64</f>
        <v>7390.654907112028</v>
      </c>
    </row>
    <row r="65" spans="1:17" x14ac:dyDescent="0.25">
      <c r="A65" s="159">
        <v>45</v>
      </c>
      <c r="B65" s="3" t="s">
        <v>179</v>
      </c>
      <c r="C65" s="54">
        <f t="shared" si="6"/>
        <v>151.58150684931508</v>
      </c>
      <c r="D65" s="29">
        <v>0</v>
      </c>
      <c r="E65" s="155"/>
      <c r="F65" s="2"/>
      <c r="G65" s="2"/>
      <c r="H65" s="160">
        <v>0</v>
      </c>
      <c r="I65" s="160">
        <f>C65+H65</f>
        <v>151.58150684931508</v>
      </c>
      <c r="J65" s="161">
        <v>0.45</v>
      </c>
      <c r="K65" s="2"/>
      <c r="L65" s="170"/>
      <c r="M65" s="39">
        <f>(I65*J65)/365*275</f>
        <v>51.392360198911618</v>
      </c>
      <c r="N65" s="100">
        <f>H65+I65-M65</f>
        <v>100.18914665040346</v>
      </c>
    </row>
    <row r="66" spans="1:17" x14ac:dyDescent="0.25">
      <c r="A66" s="164">
        <v>47</v>
      </c>
      <c r="B66" s="56" t="s">
        <v>180</v>
      </c>
      <c r="C66" s="54">
        <f t="shared" si="6"/>
        <v>41279246.860317811</v>
      </c>
      <c r="D66" s="29">
        <v>0</v>
      </c>
      <c r="E66" s="155"/>
      <c r="F66" s="2"/>
      <c r="G66" s="2"/>
      <c r="H66" s="160">
        <f>SUM(D66+G66)/2</f>
        <v>0</v>
      </c>
      <c r="I66" s="160">
        <f>C66+H66+F66</f>
        <v>41279246.860317811</v>
      </c>
      <c r="J66" s="161">
        <v>0.08</v>
      </c>
      <c r="K66" s="2"/>
      <c r="L66" s="2"/>
      <c r="M66" s="39">
        <f>(I66+C67)*J66/365*275</f>
        <v>2615496.7492283885</v>
      </c>
      <c r="N66" s="100">
        <f>H66+I66-M66</f>
        <v>38663750.111089423</v>
      </c>
    </row>
    <row r="67" spans="1:17" x14ac:dyDescent="0.25">
      <c r="A67" s="164">
        <v>47</v>
      </c>
      <c r="B67" s="56" t="s">
        <v>181</v>
      </c>
      <c r="C67" s="54">
        <f t="shared" si="6"/>
        <v>2114221.9336986304</v>
      </c>
      <c r="D67" s="171">
        <v>0</v>
      </c>
      <c r="E67" s="155">
        <v>9973004.6900000032</v>
      </c>
      <c r="F67" s="2"/>
      <c r="G67" s="2"/>
      <c r="H67" s="160">
        <f>SUM(D67+E67+G67)/2</f>
        <v>4986502.3450000016</v>
      </c>
      <c r="I67" s="160">
        <f>E67</f>
        <v>9973004.6900000032</v>
      </c>
      <c r="J67" s="161">
        <f>J66*1.5</f>
        <v>0.12</v>
      </c>
      <c r="K67" s="2"/>
      <c r="L67" s="2"/>
      <c r="M67" s="39">
        <f>(I67*J67)/365*275</f>
        <v>901668.91717808251</v>
      </c>
      <c r="N67" s="160">
        <f>C67+E67-M67</f>
        <v>11185557.70652055</v>
      </c>
    </row>
    <row r="68" spans="1:17" x14ac:dyDescent="0.25">
      <c r="A68" s="159">
        <v>50</v>
      </c>
      <c r="B68" s="3" t="s">
        <v>179</v>
      </c>
      <c r="C68" s="54">
        <f t="shared" si="6"/>
        <v>42858.027671232878</v>
      </c>
      <c r="D68" s="99">
        <v>0</v>
      </c>
      <c r="E68" s="29"/>
      <c r="F68" s="2">
        <v>0</v>
      </c>
      <c r="G68" s="99">
        <v>0</v>
      </c>
      <c r="H68" s="160">
        <v>0</v>
      </c>
      <c r="I68" s="167">
        <f>C68+H68+F68</f>
        <v>42858.027671232878</v>
      </c>
      <c r="J68" s="168">
        <v>0.55000000000000004</v>
      </c>
      <c r="K68" s="2"/>
      <c r="L68" s="2"/>
      <c r="M68" s="39">
        <f>(I68+C69)*J68/365*275</f>
        <v>21096.811895759056</v>
      </c>
      <c r="N68" s="100">
        <f>H68+I68-M68</f>
        <v>21761.215775473822</v>
      </c>
    </row>
    <row r="69" spans="1:17" x14ac:dyDescent="0.25">
      <c r="A69" s="172">
        <v>50</v>
      </c>
      <c r="B69" s="3" t="s">
        <v>182</v>
      </c>
      <c r="C69" s="54">
        <f t="shared" si="6"/>
        <v>8053.2869863013684</v>
      </c>
      <c r="D69" s="29">
        <v>0</v>
      </c>
      <c r="E69" s="155">
        <v>9292.84</v>
      </c>
      <c r="F69" s="2"/>
      <c r="G69" s="2">
        <v>0</v>
      </c>
      <c r="H69" s="160">
        <f>SUM(D69+E69+G69)/2</f>
        <v>4646.42</v>
      </c>
      <c r="I69" s="160">
        <f>E69</f>
        <v>9292.84</v>
      </c>
      <c r="J69" s="161">
        <f>J68*1.5</f>
        <v>0.82500000000000007</v>
      </c>
      <c r="K69" s="2"/>
      <c r="L69" s="2"/>
      <c r="M69" s="39">
        <f>(I69*J69)/365*275</f>
        <v>5776.200205479453</v>
      </c>
      <c r="N69" s="100">
        <f>C69+E69-M69</f>
        <v>11569.926780821916</v>
      </c>
    </row>
    <row r="70" spans="1:17" x14ac:dyDescent="0.25">
      <c r="A70" s="173">
        <v>95</v>
      </c>
      <c r="B70" s="60" t="s">
        <v>10</v>
      </c>
      <c r="C70" s="54">
        <v>0</v>
      </c>
      <c r="D70" s="29">
        <v>0</v>
      </c>
      <c r="E70" s="29"/>
      <c r="F70" s="2">
        <v>0</v>
      </c>
      <c r="G70" s="2"/>
      <c r="H70" s="167">
        <f>SUM(E70+G70)/2</f>
        <v>0</v>
      </c>
      <c r="I70" s="155">
        <f>C70+E70+F70</f>
        <v>0</v>
      </c>
      <c r="J70" s="168">
        <v>0</v>
      </c>
      <c r="K70" s="2"/>
      <c r="L70" s="2"/>
      <c r="M70" s="39">
        <f>(I70*J70)/365*275</f>
        <v>0</v>
      </c>
      <c r="N70" s="100">
        <f>I70-M70</f>
        <v>0</v>
      </c>
    </row>
    <row r="71" spans="1:17" ht="15.75" thickBot="1" x14ac:dyDescent="0.3">
      <c r="A71" s="61" t="s">
        <v>11</v>
      </c>
      <c r="B71" s="62"/>
      <c r="C71" s="63">
        <f t="shared" ref="C71:I71" si="7">SUM(C52:C70)</f>
        <v>83281107.159312338</v>
      </c>
      <c r="D71" s="64">
        <f t="shared" si="7"/>
        <v>0</v>
      </c>
      <c r="E71" s="64">
        <f t="shared" si="7"/>
        <v>10366978.530000003</v>
      </c>
      <c r="F71" s="23">
        <f t="shared" si="7"/>
        <v>444914</v>
      </c>
      <c r="G71" s="27">
        <f t="shared" si="7"/>
        <v>0</v>
      </c>
      <c r="H71" s="63">
        <f t="shared" si="7"/>
        <v>5172199.7650000015</v>
      </c>
      <c r="I71" s="63">
        <f t="shared" si="7"/>
        <v>91420831.519928768</v>
      </c>
      <c r="J71" s="63" t="s">
        <v>0</v>
      </c>
      <c r="K71" s="63">
        <f>SUM(K52:K70)</f>
        <v>0</v>
      </c>
      <c r="L71" s="63">
        <f>SUM(L52:L70)</f>
        <v>0</v>
      </c>
      <c r="M71" s="63">
        <f>SUM(M52:M70)</f>
        <v>5242631.8482499449</v>
      </c>
      <c r="N71" s="63">
        <f>SUM(N52:N70)</f>
        <v>88850367.841062382</v>
      </c>
    </row>
    <row r="72" spans="1:17" ht="15.75" thickTop="1" x14ac:dyDescent="0.25"/>
    <row r="73" spans="1:17" x14ac:dyDescent="0.25">
      <c r="A73">
        <v>2020</v>
      </c>
      <c r="B73" t="s">
        <v>65</v>
      </c>
    </row>
    <row r="74" spans="1:17" ht="30" x14ac:dyDescent="0.25">
      <c r="A74" s="150" t="s">
        <v>2</v>
      </c>
      <c r="B74" s="53" t="s">
        <v>3</v>
      </c>
      <c r="C74" s="53" t="s">
        <v>186</v>
      </c>
      <c r="D74" s="151"/>
      <c r="E74" s="151" t="s">
        <v>102</v>
      </c>
      <c r="F74" s="151" t="s">
        <v>4</v>
      </c>
      <c r="G74" s="151" t="s">
        <v>12</v>
      </c>
      <c r="H74" s="151" t="s">
        <v>5</v>
      </c>
      <c r="I74" s="151" t="s">
        <v>6</v>
      </c>
      <c r="J74" s="151" t="s">
        <v>57</v>
      </c>
      <c r="K74" s="151" t="s">
        <v>58</v>
      </c>
      <c r="L74" s="151" t="s">
        <v>7</v>
      </c>
      <c r="M74" s="152" t="s">
        <v>1</v>
      </c>
      <c r="N74" s="153" t="s">
        <v>8</v>
      </c>
    </row>
    <row r="75" spans="1:17" x14ac:dyDescent="0.25">
      <c r="A75" s="150"/>
      <c r="B75" s="53"/>
      <c r="C75" s="154"/>
      <c r="D75" s="28"/>
      <c r="E75" s="155"/>
      <c r="F75" s="1"/>
      <c r="G75" s="1"/>
      <c r="H75" s="1"/>
      <c r="I75" s="156"/>
      <c r="J75" s="157"/>
      <c r="K75" s="1"/>
      <c r="L75" s="1"/>
      <c r="M75" s="73"/>
      <c r="N75" s="158"/>
    </row>
    <row r="76" spans="1:17" x14ac:dyDescent="0.25">
      <c r="A76" s="159">
        <v>1</v>
      </c>
      <c r="B76" s="3" t="s">
        <v>168</v>
      </c>
      <c r="C76" s="54">
        <f>N52+N53</f>
        <v>31151888.552116744</v>
      </c>
      <c r="D76" s="29">
        <v>0</v>
      </c>
      <c r="E76" s="155"/>
      <c r="F76" s="2"/>
      <c r="G76" s="2"/>
      <c r="H76" s="100">
        <f>SUM(D76+G76)/2</f>
        <v>0</v>
      </c>
      <c r="I76" s="160">
        <f>C76+H76</f>
        <v>31151888.552116744</v>
      </c>
      <c r="J76" s="161">
        <v>0.04</v>
      </c>
      <c r="K76" s="2"/>
      <c r="L76" s="2"/>
      <c r="M76" s="39">
        <f>I76*J76</f>
        <v>1246075.5420846697</v>
      </c>
      <c r="N76" s="100">
        <f>H76+I76-M76</f>
        <v>29905813.010032073</v>
      </c>
      <c r="P76" s="30"/>
      <c r="Q76" s="30"/>
    </row>
    <row r="77" spans="1:17" x14ac:dyDescent="0.25">
      <c r="A77" s="159">
        <v>1</v>
      </c>
      <c r="B77" s="3" t="s">
        <v>169</v>
      </c>
      <c r="C77" s="54">
        <v>0</v>
      </c>
      <c r="D77" s="29">
        <v>0</v>
      </c>
      <c r="E77" s="155">
        <v>0</v>
      </c>
      <c r="F77" s="2" t="s">
        <v>0</v>
      </c>
      <c r="G77" s="2"/>
      <c r="H77" s="160">
        <f>SUM(D77+E77+G77)/2</f>
        <v>0</v>
      </c>
      <c r="I77" s="160">
        <f>E77</f>
        <v>0</v>
      </c>
      <c r="J77" s="161">
        <f>J76*1.5</f>
        <v>0.06</v>
      </c>
      <c r="K77" s="2"/>
      <c r="L77" s="2"/>
      <c r="M77" s="39">
        <f>I77*J77</f>
        <v>0</v>
      </c>
      <c r="N77" s="160">
        <f>C77+E77-M77</f>
        <v>0</v>
      </c>
      <c r="P77" s="30"/>
      <c r="Q77" s="30"/>
    </row>
    <row r="78" spans="1:17" x14ac:dyDescent="0.25">
      <c r="A78" s="162">
        <v>2</v>
      </c>
      <c r="B78" s="3" t="s">
        <v>170</v>
      </c>
      <c r="C78" s="54">
        <f>N54</f>
        <v>4376201.5227872841</v>
      </c>
      <c r="D78" s="29">
        <v>0</v>
      </c>
      <c r="E78" s="155"/>
      <c r="F78" s="2"/>
      <c r="G78" s="2"/>
      <c r="H78" s="160">
        <f>SUM(D78+G78)/2</f>
        <v>0</v>
      </c>
      <c r="I78" s="176">
        <f>C78+H78</f>
        <v>4376201.5227872841</v>
      </c>
      <c r="J78" s="161">
        <v>0.06</v>
      </c>
      <c r="K78" s="2"/>
      <c r="L78" s="2"/>
      <c r="M78" s="39">
        <f>(I78*J78)</f>
        <v>262572.09136723704</v>
      </c>
      <c r="N78" s="100">
        <f>H78+I78-M78</f>
        <v>4113629.4314200468</v>
      </c>
      <c r="P78" s="30"/>
      <c r="Q78" s="30"/>
    </row>
    <row r="79" spans="1:17" x14ac:dyDescent="0.25">
      <c r="A79" s="164">
        <v>8</v>
      </c>
      <c r="B79" s="56" t="s">
        <v>171</v>
      </c>
      <c r="C79" s="54">
        <f>N55+N56</f>
        <v>2178809.151254457</v>
      </c>
      <c r="D79" s="99">
        <v>0</v>
      </c>
      <c r="E79" s="29"/>
      <c r="F79" s="2"/>
      <c r="G79" s="2"/>
      <c r="H79" s="160">
        <f>SUM(E79+G79)/2</f>
        <v>0</v>
      </c>
      <c r="I79" s="176">
        <f>C79+H79</f>
        <v>2178809.151254457</v>
      </c>
      <c r="J79" s="161">
        <v>0.2</v>
      </c>
      <c r="K79" s="2"/>
      <c r="L79" s="2"/>
      <c r="M79" s="39">
        <f>I79*J79</f>
        <v>435761.83025089139</v>
      </c>
      <c r="N79" s="100">
        <f>H79+I79-M79</f>
        <v>1743047.3210035656</v>
      </c>
      <c r="P79" s="30"/>
      <c r="Q79" s="30"/>
    </row>
    <row r="80" spans="1:17" x14ac:dyDescent="0.25">
      <c r="A80" s="164">
        <v>8</v>
      </c>
      <c r="B80" s="56" t="s">
        <v>62</v>
      </c>
      <c r="C80" s="54">
        <v>0</v>
      </c>
      <c r="D80" s="29">
        <v>0</v>
      </c>
      <c r="E80" s="155">
        <v>92730.89</v>
      </c>
      <c r="F80" s="2"/>
      <c r="G80" s="2"/>
      <c r="H80" s="160">
        <f>SUM(D80+E80+G80)/2</f>
        <v>46365.445</v>
      </c>
      <c r="I80" s="160">
        <f>E80</f>
        <v>92730.89</v>
      </c>
      <c r="J80" s="161">
        <f>J79*1.5</f>
        <v>0.30000000000000004</v>
      </c>
      <c r="K80" s="2"/>
      <c r="L80" s="2"/>
      <c r="M80" s="39">
        <f>I80*J80</f>
        <v>27819.267000000003</v>
      </c>
      <c r="N80" s="160">
        <f>C80+E80-M80</f>
        <v>64911.622999999992</v>
      </c>
      <c r="P80" s="30"/>
      <c r="Q80" s="30"/>
    </row>
    <row r="81" spans="1:19" x14ac:dyDescent="0.25">
      <c r="A81" s="159">
        <v>10</v>
      </c>
      <c r="B81" s="3" t="s">
        <v>172</v>
      </c>
      <c r="C81" s="54">
        <f>N57</f>
        <v>1873.3623043723028</v>
      </c>
      <c r="D81" s="29">
        <v>0</v>
      </c>
      <c r="E81" s="155"/>
      <c r="F81" s="2"/>
      <c r="G81" s="2">
        <v>0</v>
      </c>
      <c r="H81" s="100">
        <f>SUM(D81+G81)/2</f>
        <v>0</v>
      </c>
      <c r="I81" s="160">
        <f>C81+H81</f>
        <v>1873.3623043723028</v>
      </c>
      <c r="J81" s="161">
        <v>0.3</v>
      </c>
      <c r="K81" s="2"/>
      <c r="L81" s="2"/>
      <c r="M81" s="39">
        <f>I81*J81</f>
        <v>562.00869131169077</v>
      </c>
      <c r="N81" s="100">
        <f>H81+I81-M81</f>
        <v>1311.3536130606121</v>
      </c>
      <c r="P81" s="30"/>
      <c r="Q81" s="30"/>
    </row>
    <row r="82" spans="1:19" x14ac:dyDescent="0.25">
      <c r="A82" s="164">
        <v>12</v>
      </c>
      <c r="B82" s="57" t="s">
        <v>173</v>
      </c>
      <c r="C82" s="54">
        <v>0</v>
      </c>
      <c r="D82" s="29">
        <v>0</v>
      </c>
      <c r="E82" s="155"/>
      <c r="F82" s="2"/>
      <c r="G82" s="2"/>
      <c r="H82" s="100"/>
      <c r="I82" s="160">
        <f>C82+E82+H82</f>
        <v>0</v>
      </c>
      <c r="J82" s="161">
        <v>1</v>
      </c>
      <c r="K82" s="2"/>
      <c r="L82" s="2"/>
      <c r="M82" s="39">
        <f>I82*J82</f>
        <v>0</v>
      </c>
      <c r="N82" s="100">
        <f>H82+I82-M82</f>
        <v>0</v>
      </c>
      <c r="P82" s="177"/>
      <c r="Q82" s="30"/>
    </row>
    <row r="83" spans="1:19" x14ac:dyDescent="0.25">
      <c r="A83" s="164">
        <v>12</v>
      </c>
      <c r="B83" s="3" t="s">
        <v>174</v>
      </c>
      <c r="C83" s="54">
        <f>N58+N59</f>
        <v>17377.20135109777</v>
      </c>
      <c r="D83" s="29">
        <v>0</v>
      </c>
      <c r="E83" s="155">
        <v>0</v>
      </c>
      <c r="F83" s="2"/>
      <c r="G83" s="2"/>
      <c r="H83" s="100">
        <f>SUM(D83+G83)/2</f>
        <v>0</v>
      </c>
      <c r="I83" s="176">
        <f>C83+H83</f>
        <v>17377.20135109777</v>
      </c>
      <c r="J83" s="161">
        <f>J82</f>
        <v>1</v>
      </c>
      <c r="K83" s="2"/>
      <c r="L83" s="2"/>
      <c r="M83" s="39">
        <f>I83*J83</f>
        <v>17377.20135109777</v>
      </c>
      <c r="N83" s="100">
        <f>H83+I83-M83</f>
        <v>0</v>
      </c>
      <c r="P83" s="30"/>
      <c r="Q83" s="30"/>
    </row>
    <row r="84" spans="1:19" x14ac:dyDescent="0.25">
      <c r="A84" s="59">
        <v>14.1</v>
      </c>
      <c r="B84" s="3" t="s">
        <v>175</v>
      </c>
      <c r="C84" s="54">
        <f>N60</f>
        <v>395310.27783080499</v>
      </c>
      <c r="D84" s="29">
        <v>0</v>
      </c>
      <c r="E84" s="155"/>
      <c r="F84" s="2"/>
      <c r="G84" s="2"/>
      <c r="H84" s="100">
        <f>SUM(D84+G84)/2</f>
        <v>0</v>
      </c>
      <c r="I84" s="167">
        <f>C84+D84</f>
        <v>395310.27783080499</v>
      </c>
      <c r="J84" s="168">
        <v>7.0000000000000007E-2</v>
      </c>
      <c r="K84" s="2"/>
      <c r="L84" s="2"/>
      <c r="M84" s="39">
        <f t="shared" ref="M84:M89" si="8">(I84*J84)</f>
        <v>27671.719448156353</v>
      </c>
      <c r="N84" s="100">
        <f>H84+I84-M84</f>
        <v>367638.55838264863</v>
      </c>
      <c r="P84" s="30"/>
      <c r="Q84" s="30"/>
    </row>
    <row r="85" spans="1:19" x14ac:dyDescent="0.25">
      <c r="A85" s="59">
        <v>14.1</v>
      </c>
      <c r="B85" s="3" t="s">
        <v>176</v>
      </c>
      <c r="C85" s="54">
        <f>N61+N62</f>
        <v>593103.90983979171</v>
      </c>
      <c r="D85" s="29">
        <v>0</v>
      </c>
      <c r="E85" s="155"/>
      <c r="F85" s="2"/>
      <c r="G85" s="2"/>
      <c r="H85" s="100">
        <f>SUM(D85+G85)/2</f>
        <v>0</v>
      </c>
      <c r="I85" s="167">
        <f>C85+H85</f>
        <v>593103.90983979171</v>
      </c>
      <c r="J85" s="168">
        <v>0.05</v>
      </c>
      <c r="K85" s="2"/>
      <c r="L85" s="2"/>
      <c r="M85" s="39">
        <f t="shared" si="8"/>
        <v>29655.195491989587</v>
      </c>
      <c r="N85" s="100">
        <f>H85+I85-M85</f>
        <v>563448.7143478021</v>
      </c>
      <c r="P85" s="30"/>
      <c r="Q85" s="30"/>
    </row>
    <row r="86" spans="1:19" x14ac:dyDescent="0.25">
      <c r="A86" s="59">
        <v>14.1</v>
      </c>
      <c r="B86" s="3" t="s">
        <v>185</v>
      </c>
      <c r="C86" s="54">
        <v>0</v>
      </c>
      <c r="D86" s="29">
        <v>0</v>
      </c>
      <c r="E86" s="155"/>
      <c r="F86" s="2"/>
      <c r="G86" s="2"/>
      <c r="H86" s="160">
        <f>SUM(D86+E86+G86)/2</f>
        <v>0</v>
      </c>
      <c r="I86" s="160">
        <f>E86</f>
        <v>0</v>
      </c>
      <c r="J86" s="161">
        <f>J85*1.5</f>
        <v>7.5000000000000011E-2</v>
      </c>
      <c r="K86" s="2"/>
      <c r="L86" s="2"/>
      <c r="M86" s="39">
        <f t="shared" si="8"/>
        <v>0</v>
      </c>
      <c r="N86" s="160">
        <f>C86+E86-M86</f>
        <v>0</v>
      </c>
      <c r="P86" s="30"/>
      <c r="Q86" s="30"/>
    </row>
    <row r="87" spans="1:19" x14ac:dyDescent="0.25">
      <c r="A87" s="164">
        <v>17</v>
      </c>
      <c r="B87" s="57" t="s">
        <v>177</v>
      </c>
      <c r="C87" s="54">
        <f>N63</f>
        <v>245674.0593578082</v>
      </c>
      <c r="D87" s="99">
        <v>0</v>
      </c>
      <c r="E87" s="29"/>
      <c r="F87" s="2"/>
      <c r="G87" s="2"/>
      <c r="H87" s="160">
        <f>SUM(E87+G87)/2</f>
        <v>0</v>
      </c>
      <c r="I87" s="160">
        <f>C87+D87</f>
        <v>245674.0593578082</v>
      </c>
      <c r="J87" s="161">
        <v>0.08</v>
      </c>
      <c r="K87" s="2"/>
      <c r="L87" s="2"/>
      <c r="M87" s="39">
        <f t="shared" si="8"/>
        <v>19653.924748624657</v>
      </c>
      <c r="N87" s="100">
        <f>H87+I87-M87</f>
        <v>226020.13460918356</v>
      </c>
      <c r="P87" s="30"/>
      <c r="Q87" s="30"/>
    </row>
    <row r="88" spans="1:19" x14ac:dyDescent="0.25">
      <c r="A88" s="59">
        <v>43.2</v>
      </c>
      <c r="B88" s="3" t="s">
        <v>178</v>
      </c>
      <c r="C88" s="54">
        <f>N64</f>
        <v>7390.654907112028</v>
      </c>
      <c r="D88" s="29">
        <v>0</v>
      </c>
      <c r="E88" s="155"/>
      <c r="F88" s="2"/>
      <c r="G88" s="2"/>
      <c r="H88" s="160"/>
      <c r="I88" s="167">
        <f>C88+H88</f>
        <v>7390.654907112028</v>
      </c>
      <c r="J88" s="168">
        <v>0.5</v>
      </c>
      <c r="K88" s="2"/>
      <c r="L88" s="2"/>
      <c r="M88" s="39">
        <f t="shared" si="8"/>
        <v>3695.327453556014</v>
      </c>
      <c r="N88" s="100">
        <f>H88+I88-M88</f>
        <v>3695.327453556014</v>
      </c>
      <c r="P88" s="30"/>
      <c r="Q88" s="30"/>
    </row>
    <row r="89" spans="1:19" x14ac:dyDescent="0.25">
      <c r="A89" s="159">
        <v>45</v>
      </c>
      <c r="B89" s="3" t="s">
        <v>179</v>
      </c>
      <c r="C89" s="54">
        <f>N65</f>
        <v>100.18914665040346</v>
      </c>
      <c r="D89" s="29">
        <v>0</v>
      </c>
      <c r="E89" s="155"/>
      <c r="F89" s="2"/>
      <c r="G89" s="2"/>
      <c r="H89" s="160">
        <v>0</v>
      </c>
      <c r="I89" s="160">
        <f>C89+H89</f>
        <v>100.18914665040346</v>
      </c>
      <c r="J89" s="161">
        <v>0.45</v>
      </c>
      <c r="K89" s="2"/>
      <c r="L89" s="170"/>
      <c r="M89" s="39">
        <f t="shared" si="8"/>
        <v>45.085115992681558</v>
      </c>
      <c r="N89" s="100">
        <f>H89+I89-M89</f>
        <v>55.1040306577219</v>
      </c>
      <c r="P89" s="30"/>
      <c r="Q89" s="30"/>
    </row>
    <row r="90" spans="1:19" x14ac:dyDescent="0.25">
      <c r="A90" s="164">
        <v>47</v>
      </c>
      <c r="B90" s="56" t="s">
        <v>180</v>
      </c>
      <c r="C90" s="54">
        <f>N66+N67</f>
        <v>49849307.817609973</v>
      </c>
      <c r="D90" s="29">
        <v>0</v>
      </c>
      <c r="E90" s="155"/>
      <c r="F90" s="2"/>
      <c r="G90" s="2"/>
      <c r="H90" s="160">
        <f>SUM(D90+G90)/2</f>
        <v>0</v>
      </c>
      <c r="I90" s="160">
        <f>C90+H90+F90</f>
        <v>49849307.817609973</v>
      </c>
      <c r="J90" s="161">
        <v>0.08</v>
      </c>
      <c r="K90" s="2"/>
      <c r="L90" s="2"/>
      <c r="M90" s="39">
        <f>I90*J90</f>
        <v>3987944.625408798</v>
      </c>
      <c r="N90" s="100">
        <f>H90+I90-M90</f>
        <v>45861363.192201175</v>
      </c>
      <c r="P90" s="30"/>
      <c r="Q90" s="30"/>
    </row>
    <row r="91" spans="1:19" x14ac:dyDescent="0.25">
      <c r="A91" s="164">
        <v>47</v>
      </c>
      <c r="B91" s="56" t="s">
        <v>181</v>
      </c>
      <c r="C91" s="54">
        <v>0</v>
      </c>
      <c r="D91" s="171">
        <v>0</v>
      </c>
      <c r="E91" s="155">
        <v>7677846.5999999987</v>
      </c>
      <c r="F91" s="2"/>
      <c r="G91" s="2"/>
      <c r="H91" s="160">
        <f>SUM(D91+E91+G91)/2</f>
        <v>3838923.2999999993</v>
      </c>
      <c r="I91" s="160">
        <f>E91</f>
        <v>7677846.5999999987</v>
      </c>
      <c r="J91" s="161">
        <f>J90*1.5</f>
        <v>0.12</v>
      </c>
      <c r="K91" s="2"/>
      <c r="L91" s="2"/>
      <c r="M91" s="39">
        <f>(I91*J91)</f>
        <v>921341.59199999983</v>
      </c>
      <c r="N91" s="160">
        <f>C91+E91-M91</f>
        <v>6756505.0079999985</v>
      </c>
      <c r="P91" s="30"/>
      <c r="Q91" s="30"/>
    </row>
    <row r="92" spans="1:19" x14ac:dyDescent="0.25">
      <c r="A92" s="159">
        <v>50</v>
      </c>
      <c r="B92" s="3" t="s">
        <v>179</v>
      </c>
      <c r="C92" s="54">
        <f>N68+N69</f>
        <v>33331.142556295737</v>
      </c>
      <c r="D92" s="99">
        <v>0</v>
      </c>
      <c r="E92" s="29"/>
      <c r="F92" s="2">
        <v>0</v>
      </c>
      <c r="G92" s="99">
        <v>0</v>
      </c>
      <c r="H92" s="160">
        <v>0</v>
      </c>
      <c r="I92" s="155">
        <f>C92+H92+F92</f>
        <v>33331.142556295737</v>
      </c>
      <c r="J92" s="168">
        <v>0.55000000000000004</v>
      </c>
      <c r="K92" s="2"/>
      <c r="L92" s="2"/>
      <c r="M92" s="39">
        <f>(I92+C93)*J92</f>
        <v>18332.128405962656</v>
      </c>
      <c r="N92" s="100">
        <f>H92+I92-M92</f>
        <v>14999.014150333081</v>
      </c>
      <c r="P92" s="30"/>
      <c r="Q92" s="30"/>
    </row>
    <row r="93" spans="1:19" x14ac:dyDescent="0.25">
      <c r="A93" s="172">
        <v>50</v>
      </c>
      <c r="B93" s="3" t="s">
        <v>182</v>
      </c>
      <c r="C93" s="54">
        <v>0</v>
      </c>
      <c r="D93" s="29">
        <v>0</v>
      </c>
      <c r="E93" s="155">
        <v>0</v>
      </c>
      <c r="F93" s="2"/>
      <c r="G93" s="2">
        <v>0</v>
      </c>
      <c r="H93" s="160">
        <f>SUM(D93+E93+G93)/2</f>
        <v>0</v>
      </c>
      <c r="I93" s="160">
        <f>E93</f>
        <v>0</v>
      </c>
      <c r="J93" s="161">
        <f>J92*1.5</f>
        <v>0.82500000000000007</v>
      </c>
      <c r="K93" s="2"/>
      <c r="L93" s="2"/>
      <c r="M93" s="39">
        <f>(I93*J93)</f>
        <v>0</v>
      </c>
      <c r="N93" s="176">
        <f>C93+E93-M93</f>
        <v>0</v>
      </c>
      <c r="P93" s="30"/>
      <c r="Q93" s="30"/>
    </row>
    <row r="94" spans="1:19" x14ac:dyDescent="0.25">
      <c r="A94" s="173">
        <v>95</v>
      </c>
      <c r="B94" s="60" t="s">
        <v>10</v>
      </c>
      <c r="C94" s="54">
        <f>N70</f>
        <v>0</v>
      </c>
      <c r="D94" s="29">
        <v>0</v>
      </c>
      <c r="E94" s="29"/>
      <c r="F94" s="2">
        <v>0</v>
      </c>
      <c r="G94" s="2"/>
      <c r="H94" s="167">
        <f>SUM(E94+G94)/2</f>
        <v>0</v>
      </c>
      <c r="I94" s="155">
        <f>C94+E94+F94</f>
        <v>0</v>
      </c>
      <c r="J94" s="168">
        <v>0</v>
      </c>
      <c r="K94" s="2"/>
      <c r="L94" s="2"/>
      <c r="M94" s="39">
        <f>(I94*J94)</f>
        <v>0</v>
      </c>
      <c r="N94" s="100">
        <f>I94-M94</f>
        <v>0</v>
      </c>
      <c r="P94" s="30"/>
      <c r="Q94" s="30"/>
    </row>
    <row r="95" spans="1:19" ht="15.75" thickBot="1" x14ac:dyDescent="0.3">
      <c r="A95" s="61" t="s">
        <v>11</v>
      </c>
      <c r="B95" s="62"/>
      <c r="C95" s="23">
        <f t="shared" ref="C95:I95" si="9">SUM(C76:C94)</f>
        <v>88850367.841062397</v>
      </c>
      <c r="D95" s="64">
        <f t="shared" si="9"/>
        <v>0</v>
      </c>
      <c r="E95" s="64">
        <f t="shared" si="9"/>
        <v>7770577.4899999984</v>
      </c>
      <c r="F95" s="23">
        <f t="shared" si="9"/>
        <v>0</v>
      </c>
      <c r="G95" s="27">
        <f t="shared" si="9"/>
        <v>0</v>
      </c>
      <c r="H95" s="63">
        <f t="shared" si="9"/>
        <v>3885288.7449999992</v>
      </c>
      <c r="I95" s="63">
        <f t="shared" si="9"/>
        <v>96620945.331062391</v>
      </c>
      <c r="J95" s="63" t="s">
        <v>0</v>
      </c>
      <c r="K95" s="63">
        <f>SUM(K76:K94)</f>
        <v>0</v>
      </c>
      <c r="L95" s="63">
        <f>SUM(L76:L94)</f>
        <v>0</v>
      </c>
      <c r="M95" s="63">
        <f>SUM(M76:M94)</f>
        <v>6998507.5388182877</v>
      </c>
      <c r="N95" s="63">
        <f>SUM(N76:N94)</f>
        <v>89622437.792244107</v>
      </c>
      <c r="P95" s="30"/>
      <c r="Q95" s="30"/>
      <c r="R95" s="4"/>
      <c r="S95" s="178"/>
    </row>
    <row r="96" spans="1:19" ht="15.75" thickTop="1" x14ac:dyDescent="0.25"/>
    <row r="97" spans="1:14" x14ac:dyDescent="0.25">
      <c r="A97">
        <v>2021</v>
      </c>
      <c r="B97" t="s">
        <v>65</v>
      </c>
    </row>
    <row r="98" spans="1:14" ht="30" x14ac:dyDescent="0.25">
      <c r="A98" s="150" t="s">
        <v>2</v>
      </c>
      <c r="B98" s="53" t="s">
        <v>3</v>
      </c>
      <c r="C98" s="53" t="s">
        <v>187</v>
      </c>
      <c r="D98" s="151"/>
      <c r="E98" s="151" t="s">
        <v>106</v>
      </c>
      <c r="F98" s="151" t="s">
        <v>4</v>
      </c>
      <c r="G98" s="151" t="s">
        <v>12</v>
      </c>
      <c r="H98" s="151" t="s">
        <v>5</v>
      </c>
      <c r="I98" s="151" t="s">
        <v>6</v>
      </c>
      <c r="J98" s="151" t="s">
        <v>57</v>
      </c>
      <c r="K98" s="151" t="s">
        <v>58</v>
      </c>
      <c r="L98" s="151" t="s">
        <v>7</v>
      </c>
      <c r="M98" s="152" t="s">
        <v>1</v>
      </c>
      <c r="N98" s="153" t="s">
        <v>8</v>
      </c>
    </row>
    <row r="99" spans="1:14" x14ac:dyDescent="0.25">
      <c r="A99" s="150"/>
      <c r="B99" s="53"/>
      <c r="C99" s="154"/>
      <c r="D99" s="28"/>
      <c r="E99" s="155"/>
      <c r="F99" s="1"/>
      <c r="G99" s="1"/>
      <c r="H99" s="1"/>
      <c r="I99" s="156"/>
      <c r="J99" s="157"/>
      <c r="K99" s="1"/>
      <c r="L99" s="1"/>
      <c r="M99" s="73"/>
      <c r="N99" s="158"/>
    </row>
    <row r="100" spans="1:14" x14ac:dyDescent="0.25">
      <c r="A100" s="159">
        <v>1</v>
      </c>
      <c r="B100" s="3" t="s">
        <v>168</v>
      </c>
      <c r="C100" s="54">
        <f>N76+N77</f>
        <v>29905813.010032073</v>
      </c>
      <c r="D100" s="29">
        <v>0</v>
      </c>
      <c r="E100" s="155"/>
      <c r="F100" s="2"/>
      <c r="G100" s="2"/>
      <c r="H100" s="100">
        <f>SUM(D100+G100)/2</f>
        <v>0</v>
      </c>
      <c r="I100" s="160">
        <f>C100+H100</f>
        <v>29905813.010032073</v>
      </c>
      <c r="J100" s="161">
        <v>0.04</v>
      </c>
      <c r="K100" s="2"/>
      <c r="L100" s="2"/>
      <c r="M100" s="39">
        <f t="shared" ref="M100:M107" si="10">I100*J100</f>
        <v>1196232.5204012829</v>
      </c>
      <c r="N100" s="100">
        <f>H100+I100-M100</f>
        <v>28709580.489630789</v>
      </c>
    </row>
    <row r="101" spans="1:14" x14ac:dyDescent="0.25">
      <c r="A101" s="159">
        <v>1</v>
      </c>
      <c r="B101" s="3" t="s">
        <v>169</v>
      </c>
      <c r="C101" s="54">
        <v>0</v>
      </c>
      <c r="D101" s="29">
        <v>0</v>
      </c>
      <c r="E101" s="155">
        <v>198995.51</v>
      </c>
      <c r="F101" s="2" t="s">
        <v>0</v>
      </c>
      <c r="G101" s="2"/>
      <c r="H101" s="160">
        <f>SUM(D101+E101+G101)/2</f>
        <v>99497.755000000005</v>
      </c>
      <c r="I101" s="160">
        <f>E101</f>
        <v>198995.51</v>
      </c>
      <c r="J101" s="161">
        <f>J100*1.5</f>
        <v>0.06</v>
      </c>
      <c r="K101" s="2"/>
      <c r="L101" s="2"/>
      <c r="M101" s="39">
        <f t="shared" si="10"/>
        <v>11939.730600000001</v>
      </c>
      <c r="N101" s="160">
        <f>C101+E101-M101</f>
        <v>187055.7794</v>
      </c>
    </row>
    <row r="102" spans="1:14" x14ac:dyDescent="0.25">
      <c r="A102" s="162">
        <v>2</v>
      </c>
      <c r="B102" s="3" t="s">
        <v>170</v>
      </c>
      <c r="C102" s="54">
        <f>N78</f>
        <v>4113629.4314200468</v>
      </c>
      <c r="D102" s="29">
        <v>0</v>
      </c>
      <c r="E102" s="155"/>
      <c r="F102" s="2"/>
      <c r="G102" s="2"/>
      <c r="H102" s="160">
        <f>SUM(D102+G102)/2</f>
        <v>0</v>
      </c>
      <c r="I102" s="160">
        <f>C102+H102</f>
        <v>4113629.4314200468</v>
      </c>
      <c r="J102" s="161">
        <v>0.06</v>
      </c>
      <c r="K102" s="2"/>
      <c r="L102" s="2"/>
      <c r="M102" s="39">
        <f t="shared" si="10"/>
        <v>246817.7658852028</v>
      </c>
      <c r="N102" s="100">
        <f>H102+I102-M102</f>
        <v>3866811.6655348442</v>
      </c>
    </row>
    <row r="103" spans="1:14" x14ac:dyDescent="0.25">
      <c r="A103" s="164">
        <v>8</v>
      </c>
      <c r="B103" s="56" t="s">
        <v>171</v>
      </c>
      <c r="C103" s="54">
        <f>N79+N80</f>
        <v>1807958.9440035655</v>
      </c>
      <c r="D103" s="99">
        <v>0</v>
      </c>
      <c r="E103" s="29"/>
      <c r="F103" s="2"/>
      <c r="G103" s="2"/>
      <c r="H103" s="160">
        <f>SUM(E103+G103)/2</f>
        <v>0</v>
      </c>
      <c r="I103" s="160">
        <f>C103+H103</f>
        <v>1807958.9440035655</v>
      </c>
      <c r="J103" s="161">
        <v>0.2</v>
      </c>
      <c r="K103" s="2"/>
      <c r="L103" s="2"/>
      <c r="M103" s="39">
        <f t="shared" si="10"/>
        <v>361591.78880071314</v>
      </c>
      <c r="N103" s="100">
        <f>H103+I103-M103</f>
        <v>1446367.1552028523</v>
      </c>
    </row>
    <row r="104" spans="1:14" x14ac:dyDescent="0.25">
      <c r="A104" s="164">
        <v>8</v>
      </c>
      <c r="B104" s="56" t="s">
        <v>62</v>
      </c>
      <c r="C104" s="54">
        <v>0</v>
      </c>
      <c r="D104" s="29">
        <v>0</v>
      </c>
      <c r="E104" s="155">
        <v>220922.32</v>
      </c>
      <c r="F104" s="2"/>
      <c r="G104" s="2"/>
      <c r="H104" s="160">
        <f>SUM(D104+E104+G104)/2</f>
        <v>110461.16</v>
      </c>
      <c r="I104" s="160">
        <f>E104</f>
        <v>220922.32</v>
      </c>
      <c r="J104" s="161">
        <f>J103*1.5</f>
        <v>0.30000000000000004</v>
      </c>
      <c r="K104" s="2"/>
      <c r="L104" s="2"/>
      <c r="M104" s="39">
        <f t="shared" si="10"/>
        <v>66276.696000000011</v>
      </c>
      <c r="N104" s="160">
        <f>C104+E104-M104</f>
        <v>154645.62400000001</v>
      </c>
    </row>
    <row r="105" spans="1:14" x14ac:dyDescent="0.25">
      <c r="A105" s="159">
        <v>10</v>
      </c>
      <c r="B105" s="3" t="s">
        <v>188</v>
      </c>
      <c r="C105" s="54">
        <f>N81</f>
        <v>1311.3536130606121</v>
      </c>
      <c r="D105" s="29">
        <v>0</v>
      </c>
      <c r="E105" s="155"/>
      <c r="F105" s="2"/>
      <c r="G105" s="2">
        <v>0</v>
      </c>
      <c r="H105" s="100">
        <f>SUM(D105+G105)/2</f>
        <v>0</v>
      </c>
      <c r="I105" s="160">
        <f>C105+H105</f>
        <v>1311.3536130606121</v>
      </c>
      <c r="J105" s="161">
        <v>0.3</v>
      </c>
      <c r="K105" s="2"/>
      <c r="L105" s="2"/>
      <c r="M105" s="39">
        <f t="shared" si="10"/>
        <v>393.40608391818364</v>
      </c>
      <c r="N105" s="100">
        <f>H105+I105-M105</f>
        <v>917.94752914242849</v>
      </c>
    </row>
    <row r="106" spans="1:14" x14ac:dyDescent="0.25">
      <c r="A106" s="159">
        <v>10</v>
      </c>
      <c r="B106" s="3" t="s">
        <v>189</v>
      </c>
      <c r="C106" s="54">
        <v>0</v>
      </c>
      <c r="D106" s="29"/>
      <c r="E106" s="155">
        <v>61039.76</v>
      </c>
      <c r="F106" s="2"/>
      <c r="G106" s="2"/>
      <c r="H106" s="100"/>
      <c r="I106" s="160">
        <f>E106</f>
        <v>61039.76</v>
      </c>
      <c r="J106" s="161">
        <f>J105*1.5</f>
        <v>0.44999999999999996</v>
      </c>
      <c r="K106" s="2"/>
      <c r="L106" s="2"/>
      <c r="M106" s="39">
        <f t="shared" si="10"/>
        <v>27467.892</v>
      </c>
      <c r="N106" s="100">
        <f>H106+I106-M106</f>
        <v>33571.868000000002</v>
      </c>
    </row>
    <row r="107" spans="1:14" x14ac:dyDescent="0.25">
      <c r="A107" s="164">
        <v>12</v>
      </c>
      <c r="B107" s="57" t="s">
        <v>173</v>
      </c>
      <c r="C107" s="54">
        <f>N82+N83</f>
        <v>0</v>
      </c>
      <c r="D107" s="29">
        <v>0</v>
      </c>
      <c r="E107" s="155"/>
      <c r="F107" s="2"/>
      <c r="G107" s="2"/>
      <c r="H107" s="100"/>
      <c r="I107" s="160">
        <f>C107+E107+H107</f>
        <v>0</v>
      </c>
      <c r="J107" s="161">
        <v>1</v>
      </c>
      <c r="K107" s="2"/>
      <c r="L107" s="2"/>
      <c r="M107" s="39">
        <f t="shared" si="10"/>
        <v>0</v>
      </c>
      <c r="N107" s="100">
        <f>H107+I107-M107</f>
        <v>0</v>
      </c>
    </row>
    <row r="108" spans="1:14" x14ac:dyDescent="0.25">
      <c r="A108" s="164">
        <v>12</v>
      </c>
      <c r="B108" s="3" t="s">
        <v>174</v>
      </c>
      <c r="C108" s="54">
        <f t="shared" ref="C108:C114" si="11">N83</f>
        <v>0</v>
      </c>
      <c r="D108" s="29">
        <v>0</v>
      </c>
      <c r="E108" s="155">
        <v>0</v>
      </c>
      <c r="F108" s="2"/>
      <c r="G108" s="2"/>
      <c r="H108" s="100">
        <f>SUM(D108+G108)/2</f>
        <v>0</v>
      </c>
      <c r="I108" s="160">
        <f>E108</f>
        <v>0</v>
      </c>
      <c r="J108" s="161">
        <f>J107</f>
        <v>1</v>
      </c>
      <c r="K108" s="2"/>
      <c r="L108" s="2"/>
      <c r="M108" s="39">
        <f>(I108*J108)</f>
        <v>0</v>
      </c>
      <c r="N108" s="160">
        <f>C108+E108-M108</f>
        <v>0</v>
      </c>
    </row>
    <row r="109" spans="1:14" x14ac:dyDescent="0.25">
      <c r="A109" s="59">
        <v>14.1</v>
      </c>
      <c r="B109" s="3" t="s">
        <v>175</v>
      </c>
      <c r="C109" s="54">
        <f>N84</f>
        <v>367638.55838264863</v>
      </c>
      <c r="D109" s="29">
        <v>0</v>
      </c>
      <c r="E109" s="155"/>
      <c r="F109" s="2"/>
      <c r="G109" s="2"/>
      <c r="H109" s="100">
        <f>SUM(D109+G109)/2</f>
        <v>0</v>
      </c>
      <c r="I109" s="167">
        <f>C109+D109</f>
        <v>367638.55838264863</v>
      </c>
      <c r="J109" s="168">
        <v>7.0000000000000007E-2</v>
      </c>
      <c r="K109" s="2"/>
      <c r="L109" s="2"/>
      <c r="M109" s="39">
        <f>I109*J109</f>
        <v>25734.699086785407</v>
      </c>
      <c r="N109" s="100">
        <f>H109+I109-M109</f>
        <v>341903.85929586319</v>
      </c>
    </row>
    <row r="110" spans="1:14" x14ac:dyDescent="0.25">
      <c r="A110" s="59">
        <v>14.1</v>
      </c>
      <c r="B110" s="3" t="s">
        <v>176</v>
      </c>
      <c r="C110" s="54">
        <f>N85+N86</f>
        <v>563448.7143478021</v>
      </c>
      <c r="D110" s="29">
        <v>0</v>
      </c>
      <c r="E110" s="155"/>
      <c r="F110" s="2"/>
      <c r="G110" s="2"/>
      <c r="H110" s="100">
        <f>SUM(D110+G110)/2</f>
        <v>0</v>
      </c>
      <c r="I110" s="167">
        <f>C110+H110</f>
        <v>563448.7143478021</v>
      </c>
      <c r="J110" s="168">
        <v>0.05</v>
      </c>
      <c r="K110" s="2"/>
      <c r="L110" s="2"/>
      <c r="M110" s="39">
        <f>I110*J110</f>
        <v>28172.435717390108</v>
      </c>
      <c r="N110" s="100">
        <f>H110+I110-M110</f>
        <v>535276.27863041195</v>
      </c>
    </row>
    <row r="111" spans="1:14" x14ac:dyDescent="0.25">
      <c r="A111" s="59">
        <v>14.1</v>
      </c>
      <c r="B111" s="3" t="s">
        <v>185</v>
      </c>
      <c r="C111" s="54">
        <v>0</v>
      </c>
      <c r="D111" s="29">
        <v>0</v>
      </c>
      <c r="E111" s="155"/>
      <c r="F111" s="2"/>
      <c r="G111" s="2"/>
      <c r="H111" s="160">
        <f>SUM(D111+E111+G111)/2</f>
        <v>0</v>
      </c>
      <c r="I111" s="160">
        <f>E111</f>
        <v>0</v>
      </c>
      <c r="J111" s="161">
        <f>J110*1.5</f>
        <v>7.5000000000000011E-2</v>
      </c>
      <c r="K111" s="2"/>
      <c r="L111" s="2"/>
      <c r="M111" s="39">
        <f>(I111*J111)</f>
        <v>0</v>
      </c>
      <c r="N111" s="160">
        <f>C111+E111-M111</f>
        <v>0</v>
      </c>
    </row>
    <row r="112" spans="1:14" x14ac:dyDescent="0.25">
      <c r="A112" s="164">
        <v>17</v>
      </c>
      <c r="B112" s="57" t="s">
        <v>177</v>
      </c>
      <c r="C112" s="54">
        <f t="shared" si="11"/>
        <v>226020.13460918356</v>
      </c>
      <c r="D112" s="99">
        <v>0</v>
      </c>
      <c r="E112" s="29"/>
      <c r="F112" s="2"/>
      <c r="G112" s="2"/>
      <c r="H112" s="160">
        <f>SUM(E112+G112)/2</f>
        <v>0</v>
      </c>
      <c r="I112" s="160">
        <f>C112+D112</f>
        <v>226020.13460918356</v>
      </c>
      <c r="J112" s="161">
        <v>0.08</v>
      </c>
      <c r="K112" s="2"/>
      <c r="L112" s="2"/>
      <c r="M112" s="39">
        <f>I112*J112</f>
        <v>18081.610768734685</v>
      </c>
      <c r="N112" s="100">
        <f>H112+I112-M112</f>
        <v>207938.52384044888</v>
      </c>
    </row>
    <row r="113" spans="1:18" x14ac:dyDescent="0.25">
      <c r="A113" s="59">
        <v>43.2</v>
      </c>
      <c r="B113" s="3" t="s">
        <v>178</v>
      </c>
      <c r="C113" s="54">
        <f t="shared" si="11"/>
        <v>3695.327453556014</v>
      </c>
      <c r="D113" s="29">
        <v>0</v>
      </c>
      <c r="E113" s="155"/>
      <c r="F113" s="2"/>
      <c r="G113" s="2"/>
      <c r="H113" s="160"/>
      <c r="I113" s="167">
        <f>C113+H113</f>
        <v>3695.327453556014</v>
      </c>
      <c r="J113" s="168">
        <v>0.5</v>
      </c>
      <c r="K113" s="2"/>
      <c r="L113" s="2"/>
      <c r="M113" s="39">
        <f>I113*J113</f>
        <v>1847.663726778007</v>
      </c>
      <c r="N113" s="100">
        <f>H113+I113-M113</f>
        <v>1847.663726778007</v>
      </c>
    </row>
    <row r="114" spans="1:18" x14ac:dyDescent="0.25">
      <c r="A114" s="159">
        <v>45</v>
      </c>
      <c r="B114" s="3" t="s">
        <v>179</v>
      </c>
      <c r="C114" s="54">
        <f t="shared" si="11"/>
        <v>55.1040306577219</v>
      </c>
      <c r="D114" s="29">
        <v>0</v>
      </c>
      <c r="E114" s="155"/>
      <c r="F114" s="2"/>
      <c r="G114" s="2"/>
      <c r="H114" s="160">
        <v>0</v>
      </c>
      <c r="I114" s="160">
        <f>C114+H114</f>
        <v>55.1040306577219</v>
      </c>
      <c r="J114" s="161">
        <v>0.45</v>
      </c>
      <c r="K114" s="2"/>
      <c r="L114" s="170"/>
      <c r="M114" s="39">
        <f>I114*J114</f>
        <v>24.796813795974856</v>
      </c>
      <c r="N114" s="100">
        <f>H114+I114-M114</f>
        <v>30.307216861747044</v>
      </c>
    </row>
    <row r="115" spans="1:18" x14ac:dyDescent="0.25">
      <c r="A115" s="164">
        <v>47</v>
      </c>
      <c r="B115" s="56" t="s">
        <v>180</v>
      </c>
      <c r="C115" s="54">
        <f>N90+N91</f>
        <v>52617868.200201176</v>
      </c>
      <c r="D115" s="29">
        <v>0</v>
      </c>
      <c r="E115" s="155"/>
      <c r="F115" s="2"/>
      <c r="G115" s="2"/>
      <c r="H115" s="160">
        <f>SUM(D115+G115)/2</f>
        <v>0</v>
      </c>
      <c r="I115" s="160">
        <f>C115+H115+F115</f>
        <v>52617868.200201176</v>
      </c>
      <c r="J115" s="161">
        <v>0.08</v>
      </c>
      <c r="K115" s="2"/>
      <c r="L115" s="2"/>
      <c r="M115" s="39">
        <f>I115*J115</f>
        <v>4209429.4560160944</v>
      </c>
      <c r="N115" s="100">
        <f>H115+I115-M115</f>
        <v>48408438.744185083</v>
      </c>
    </row>
    <row r="116" spans="1:18" x14ac:dyDescent="0.25">
      <c r="A116" s="164">
        <v>47</v>
      </c>
      <c r="B116" s="56" t="s">
        <v>181</v>
      </c>
      <c r="C116" s="54">
        <v>0</v>
      </c>
      <c r="D116" s="171">
        <v>0</v>
      </c>
      <c r="E116" s="155">
        <v>12964766.439999999</v>
      </c>
      <c r="F116" s="2"/>
      <c r="G116" s="2"/>
      <c r="H116" s="160">
        <f>SUM(D116+E116+G116)/2</f>
        <v>6482383.2199999997</v>
      </c>
      <c r="I116" s="160">
        <f>E116</f>
        <v>12964766.439999999</v>
      </c>
      <c r="J116" s="161">
        <f>J115*1.5</f>
        <v>0.12</v>
      </c>
      <c r="K116" s="2"/>
      <c r="L116" s="2"/>
      <c r="M116" s="39">
        <f>(I116*J116)</f>
        <v>1555771.9727999999</v>
      </c>
      <c r="N116" s="160">
        <f>C116+E116-M116</f>
        <v>11408994.4672</v>
      </c>
    </row>
    <row r="117" spans="1:18" x14ac:dyDescent="0.25">
      <c r="A117" s="159">
        <v>50</v>
      </c>
      <c r="B117" s="3" t="s">
        <v>179</v>
      </c>
      <c r="C117" s="54">
        <f>N92+N93</f>
        <v>14999.014150333081</v>
      </c>
      <c r="D117" s="99">
        <v>0</v>
      </c>
      <c r="E117" s="29"/>
      <c r="F117" s="2">
        <v>0</v>
      </c>
      <c r="G117" s="99">
        <v>0</v>
      </c>
      <c r="H117" s="160">
        <v>0</v>
      </c>
      <c r="I117" s="155">
        <f>C117+H117+F117</f>
        <v>14999.014150333081</v>
      </c>
      <c r="J117" s="168">
        <v>0.55000000000000004</v>
      </c>
      <c r="K117" s="2"/>
      <c r="L117" s="2"/>
      <c r="M117" s="92">
        <f>I117*J117</f>
        <v>8249.4577826831955</v>
      </c>
      <c r="N117" s="100">
        <f>H117+I117-M117</f>
        <v>6749.5563676498859</v>
      </c>
    </row>
    <row r="118" spans="1:18" x14ac:dyDescent="0.25">
      <c r="A118" s="172">
        <v>50</v>
      </c>
      <c r="B118" s="3" t="s">
        <v>182</v>
      </c>
      <c r="C118" s="54">
        <v>0</v>
      </c>
      <c r="D118" s="29">
        <v>0</v>
      </c>
      <c r="E118" s="155">
        <v>0</v>
      </c>
      <c r="F118" s="2"/>
      <c r="G118" s="2">
        <v>0</v>
      </c>
      <c r="H118" s="160">
        <f>SUM(D118+E118+G118)/2</f>
        <v>0</v>
      </c>
      <c r="I118" s="160">
        <f>E118</f>
        <v>0</v>
      </c>
      <c r="J118" s="161">
        <f>J117*1.5</f>
        <v>0.82500000000000007</v>
      </c>
      <c r="K118" s="2"/>
      <c r="L118" s="2"/>
      <c r="M118" s="39">
        <f>(I118*J118)</f>
        <v>0</v>
      </c>
      <c r="N118" s="176">
        <f>C118+E118-M118</f>
        <v>0</v>
      </c>
    </row>
    <row r="119" spans="1:18" x14ac:dyDescent="0.25">
      <c r="A119" s="173">
        <v>95</v>
      </c>
      <c r="B119" s="60" t="s">
        <v>10</v>
      </c>
      <c r="C119" s="54">
        <f>N94</f>
        <v>0</v>
      </c>
      <c r="D119" s="29">
        <v>0</v>
      </c>
      <c r="E119" s="29"/>
      <c r="F119" s="2">
        <v>0</v>
      </c>
      <c r="G119" s="2"/>
      <c r="H119" s="167">
        <f>SUM(E119+G119)/2</f>
        <v>0</v>
      </c>
      <c r="I119" s="155">
        <f>C119+E119+F119</f>
        <v>0</v>
      </c>
      <c r="J119" s="168">
        <v>0</v>
      </c>
      <c r="K119" s="2"/>
      <c r="L119" s="2"/>
      <c r="M119" s="39">
        <f>(I119*J119)</f>
        <v>0</v>
      </c>
      <c r="N119" s="100">
        <f>I119-M119</f>
        <v>0</v>
      </c>
    </row>
    <row r="120" spans="1:18" ht="15.75" thickBot="1" x14ac:dyDescent="0.3">
      <c r="A120" s="61" t="s">
        <v>11</v>
      </c>
      <c r="B120" s="62"/>
      <c r="C120" s="63">
        <f t="shared" ref="C120:H120" si="12">SUM(C100:C119)</f>
        <v>89622437.792244107</v>
      </c>
      <c r="D120" s="64">
        <f t="shared" si="12"/>
        <v>0</v>
      </c>
      <c r="E120" s="64">
        <f t="shared" si="12"/>
        <v>13445724.029999999</v>
      </c>
      <c r="F120" s="23">
        <f t="shared" si="12"/>
        <v>0</v>
      </c>
      <c r="G120" s="27">
        <f t="shared" si="12"/>
        <v>0</v>
      </c>
      <c r="H120" s="63">
        <f t="shared" si="12"/>
        <v>6692342.1349999998</v>
      </c>
      <c r="I120" s="63">
        <f>SUM(I100:I119)</f>
        <v>103068161.82224411</v>
      </c>
      <c r="J120" s="63" t="s">
        <v>0</v>
      </c>
      <c r="K120" s="63">
        <f>SUM(K100:K119)</f>
        <v>0</v>
      </c>
      <c r="L120" s="63">
        <f>SUM(L100:L119)</f>
        <v>0</v>
      </c>
      <c r="M120" s="63">
        <f>SUM(M100:M119)</f>
        <v>7758031.8924833788</v>
      </c>
      <c r="N120" s="63">
        <f>SUM(N100:N119)</f>
        <v>95310129.929760724</v>
      </c>
      <c r="Q120" s="30"/>
    </row>
    <row r="121" spans="1:18" ht="15.75" thickTop="1" x14ac:dyDescent="0.25"/>
    <row r="122" spans="1:18" x14ac:dyDescent="0.25">
      <c r="A122">
        <v>2022</v>
      </c>
      <c r="B122" t="s">
        <v>65</v>
      </c>
    </row>
    <row r="123" spans="1:18" ht="30" x14ac:dyDescent="0.25">
      <c r="A123" s="150" t="s">
        <v>2</v>
      </c>
      <c r="B123" s="53" t="s">
        <v>3</v>
      </c>
      <c r="C123" s="53" t="s">
        <v>190</v>
      </c>
      <c r="D123" s="151"/>
      <c r="E123" s="151" t="s">
        <v>111</v>
      </c>
      <c r="F123" s="151" t="s">
        <v>4</v>
      </c>
      <c r="G123" s="151" t="s">
        <v>12</v>
      </c>
      <c r="H123" s="151" t="s">
        <v>5</v>
      </c>
      <c r="I123" s="151" t="s">
        <v>6</v>
      </c>
      <c r="J123" s="151" t="s">
        <v>57</v>
      </c>
      <c r="K123" s="151" t="s">
        <v>58</v>
      </c>
      <c r="L123" s="151" t="s">
        <v>7</v>
      </c>
      <c r="M123" s="152" t="s">
        <v>1</v>
      </c>
      <c r="N123" s="153" t="s">
        <v>8</v>
      </c>
    </row>
    <row r="124" spans="1:18" x14ac:dyDescent="0.25">
      <c r="A124" s="150"/>
      <c r="B124" s="53"/>
      <c r="C124" s="154"/>
      <c r="D124" s="28"/>
      <c r="E124" s="155"/>
      <c r="F124" s="1"/>
      <c r="G124" s="1"/>
      <c r="H124" s="1"/>
      <c r="I124" s="156"/>
      <c r="J124" s="157"/>
      <c r="K124" s="1"/>
      <c r="L124" s="1"/>
      <c r="M124" s="73"/>
      <c r="N124" s="158"/>
    </row>
    <row r="125" spans="1:18" x14ac:dyDescent="0.25">
      <c r="A125" s="159">
        <v>1</v>
      </c>
      <c r="B125" s="3" t="s">
        <v>168</v>
      </c>
      <c r="C125" s="54">
        <f>N100+N101</f>
        <v>28896636.269030787</v>
      </c>
      <c r="D125" s="29">
        <v>0</v>
      </c>
      <c r="E125" s="155"/>
      <c r="F125" s="2"/>
      <c r="G125" s="2"/>
      <c r="H125" s="100">
        <f>SUM(D125+G125)/2</f>
        <v>0</v>
      </c>
      <c r="I125" s="160">
        <f>C125+H125</f>
        <v>28896636.269030787</v>
      </c>
      <c r="J125" s="161">
        <v>0.04</v>
      </c>
      <c r="K125" s="2"/>
      <c r="L125" s="2"/>
      <c r="M125" s="39">
        <f>I125*J125</f>
        <v>1155865.4507612316</v>
      </c>
      <c r="N125" s="100">
        <f>H125+I125-M125</f>
        <v>27740770.818269555</v>
      </c>
      <c r="Q125" s="30"/>
      <c r="R125" s="30"/>
    </row>
    <row r="126" spans="1:18" x14ac:dyDescent="0.25">
      <c r="A126" s="159">
        <v>1</v>
      </c>
      <c r="B126" s="3" t="s">
        <v>169</v>
      </c>
      <c r="C126" s="54">
        <v>0</v>
      </c>
      <c r="D126" s="29">
        <v>0</v>
      </c>
      <c r="E126" s="155">
        <v>1299182.4500000007</v>
      </c>
      <c r="F126" s="2" t="s">
        <v>0</v>
      </c>
      <c r="G126" s="2"/>
      <c r="H126" s="160">
        <f>SUM(D126+E126+G126)/2</f>
        <v>649591.22500000033</v>
      </c>
      <c r="I126" s="160">
        <f>E126</f>
        <v>1299182.4500000007</v>
      </c>
      <c r="J126" s="161">
        <f>J125*1.5</f>
        <v>0.06</v>
      </c>
      <c r="K126" s="2"/>
      <c r="L126" s="2"/>
      <c r="M126" s="39">
        <f>I126*J126</f>
        <v>77950.947000000029</v>
      </c>
      <c r="N126" s="160">
        <f>C126+E126-M126</f>
        <v>1221231.5030000007</v>
      </c>
      <c r="Q126" s="30"/>
      <c r="R126" s="30"/>
    </row>
    <row r="127" spans="1:18" x14ac:dyDescent="0.25">
      <c r="A127" s="162">
        <v>2</v>
      </c>
      <c r="B127" s="3" t="s">
        <v>170</v>
      </c>
      <c r="C127" s="54">
        <f>N102</f>
        <v>3866811.6655348442</v>
      </c>
      <c r="D127" s="29">
        <v>0</v>
      </c>
      <c r="E127" s="155"/>
      <c r="F127" s="2"/>
      <c r="G127" s="2"/>
      <c r="H127" s="160">
        <f>SUM(D127+G127)/2</f>
        <v>0</v>
      </c>
      <c r="I127" s="160">
        <f>C127+H127</f>
        <v>3866811.6655348442</v>
      </c>
      <c r="J127" s="161">
        <v>0.06</v>
      </c>
      <c r="K127" s="2"/>
      <c r="L127" s="2"/>
      <c r="M127" s="39">
        <f>(I127*J127)</f>
        <v>232008.69993209065</v>
      </c>
      <c r="N127" s="100">
        <f>H127+I127-M127</f>
        <v>3634802.9656027537</v>
      </c>
      <c r="Q127" s="30"/>
      <c r="R127" s="30"/>
    </row>
    <row r="128" spans="1:18" x14ac:dyDescent="0.25">
      <c r="A128" s="164">
        <v>8</v>
      </c>
      <c r="B128" s="56" t="s">
        <v>171</v>
      </c>
      <c r="C128" s="54">
        <f>N103+N104</f>
        <v>1601012.7792028524</v>
      </c>
      <c r="D128" s="99">
        <v>0</v>
      </c>
      <c r="E128" s="29"/>
      <c r="F128" s="2"/>
      <c r="G128" s="2"/>
      <c r="H128" s="160">
        <f>SUM(E128+G128)/2</f>
        <v>0</v>
      </c>
      <c r="I128" s="160">
        <f>C128+H128</f>
        <v>1601012.7792028524</v>
      </c>
      <c r="J128" s="161">
        <v>0.2</v>
      </c>
      <c r="K128" s="2"/>
      <c r="L128" s="2"/>
      <c r="M128" s="39">
        <f>I128*J128</f>
        <v>320202.55584057048</v>
      </c>
      <c r="N128" s="100">
        <f>H128+I128-M128</f>
        <v>1280810.2233622819</v>
      </c>
      <c r="Q128" s="30"/>
      <c r="R128" s="30"/>
    </row>
    <row r="129" spans="1:18" x14ac:dyDescent="0.25">
      <c r="A129" s="164">
        <v>8</v>
      </c>
      <c r="B129" s="56" t="s">
        <v>62</v>
      </c>
      <c r="C129" s="54">
        <v>0</v>
      </c>
      <c r="D129" s="29">
        <v>0</v>
      </c>
      <c r="E129" s="155">
        <v>328488.09999999986</v>
      </c>
      <c r="F129" s="2"/>
      <c r="G129" s="2"/>
      <c r="H129" s="160">
        <v>0</v>
      </c>
      <c r="I129" s="160">
        <f>E129-279296</f>
        <v>49192.09999999986</v>
      </c>
      <c r="J129" s="161">
        <f>J128*1.5</f>
        <v>0.30000000000000004</v>
      </c>
      <c r="K129" s="2"/>
      <c r="L129" s="2"/>
      <c r="M129" s="39">
        <f>(I129*J129)+279296</f>
        <v>294053.62999999995</v>
      </c>
      <c r="N129" s="100">
        <f>C129+E129-M129</f>
        <v>34434.469999999914</v>
      </c>
      <c r="O129" t="s">
        <v>0</v>
      </c>
      <c r="Q129" s="30"/>
      <c r="R129" s="30"/>
    </row>
    <row r="130" spans="1:18" x14ac:dyDescent="0.25">
      <c r="A130" s="159">
        <v>10</v>
      </c>
      <c r="B130" s="3" t="s">
        <v>188</v>
      </c>
      <c r="C130" s="54">
        <f>N105+N106</f>
        <v>34489.815529142434</v>
      </c>
      <c r="D130" s="29">
        <v>0</v>
      </c>
      <c r="E130" s="155"/>
      <c r="F130" s="2"/>
      <c r="G130" s="2">
        <v>0</v>
      </c>
      <c r="H130" s="100">
        <f>SUM(D130+G130)/2</f>
        <v>0</v>
      </c>
      <c r="I130" s="160">
        <f>C130+H130</f>
        <v>34489.815529142434</v>
      </c>
      <c r="J130" s="161">
        <v>0.3</v>
      </c>
      <c r="K130" s="2"/>
      <c r="L130" s="2"/>
      <c r="M130" s="39">
        <f>(I130*J130)</f>
        <v>10346.94465874273</v>
      </c>
      <c r="N130" s="100">
        <f>H130+I130-M130</f>
        <v>24142.870870399704</v>
      </c>
      <c r="Q130" s="30"/>
      <c r="R130" s="30"/>
    </row>
    <row r="131" spans="1:18" x14ac:dyDescent="0.25">
      <c r="A131" s="159">
        <v>10</v>
      </c>
      <c r="B131" s="3" t="s">
        <v>189</v>
      </c>
      <c r="C131" s="54">
        <v>0</v>
      </c>
      <c r="D131" s="29"/>
      <c r="E131" s="155">
        <v>678741.41</v>
      </c>
      <c r="F131" s="2"/>
      <c r="G131" s="2"/>
      <c r="H131" s="100"/>
      <c r="I131" s="160">
        <f>E131</f>
        <v>678741.41</v>
      </c>
      <c r="J131" s="161">
        <f>J130*1.5</f>
        <v>0.44999999999999996</v>
      </c>
      <c r="K131" s="2"/>
      <c r="L131" s="2"/>
      <c r="M131" s="39">
        <f>I131*J131</f>
        <v>305433.63449999999</v>
      </c>
      <c r="N131" s="100">
        <f>H131+I131-M131</f>
        <v>373307.77550000005</v>
      </c>
      <c r="Q131" s="30"/>
      <c r="R131" s="30"/>
    </row>
    <row r="132" spans="1:18" x14ac:dyDescent="0.25">
      <c r="A132" s="164">
        <v>12</v>
      </c>
      <c r="B132" s="57" t="s">
        <v>173</v>
      </c>
      <c r="C132" s="54">
        <f>N107+N108</f>
        <v>0</v>
      </c>
      <c r="D132" s="29">
        <v>0</v>
      </c>
      <c r="E132" s="155"/>
      <c r="F132" s="2"/>
      <c r="G132" s="2"/>
      <c r="H132" s="100"/>
      <c r="I132" s="160">
        <f>C132+E132+H132</f>
        <v>0</v>
      </c>
      <c r="J132" s="161">
        <v>1</v>
      </c>
      <c r="K132" s="2"/>
      <c r="L132" s="2"/>
      <c r="M132" s="39">
        <f>I132*J132</f>
        <v>0</v>
      </c>
      <c r="N132" s="100">
        <f>H132+I132-M132</f>
        <v>0</v>
      </c>
      <c r="Q132" s="30"/>
      <c r="R132" s="30"/>
    </row>
    <row r="133" spans="1:18" x14ac:dyDescent="0.25">
      <c r="A133" s="164">
        <v>12</v>
      </c>
      <c r="B133" s="3" t="s">
        <v>174</v>
      </c>
      <c r="C133" s="54">
        <f>N108</f>
        <v>0</v>
      </c>
      <c r="D133" s="29">
        <v>0</v>
      </c>
      <c r="E133" s="155">
        <v>655827.49</v>
      </c>
      <c r="F133" s="2"/>
      <c r="G133" s="2"/>
      <c r="H133" s="100">
        <f>SUM(D133+G133)/2</f>
        <v>0</v>
      </c>
      <c r="I133" s="160">
        <f>E133</f>
        <v>655827.49</v>
      </c>
      <c r="J133" s="161">
        <f>J132</f>
        <v>1</v>
      </c>
      <c r="K133" s="2"/>
      <c r="L133" s="2"/>
      <c r="M133" s="39">
        <f>(I133*J133)</f>
        <v>655827.49</v>
      </c>
      <c r="N133" s="160">
        <f>C133+E133-M133</f>
        <v>0</v>
      </c>
      <c r="Q133" s="30"/>
      <c r="R133" s="30"/>
    </row>
    <row r="134" spans="1:18" x14ac:dyDescent="0.25">
      <c r="A134" s="59">
        <v>14.1</v>
      </c>
      <c r="B134" s="3" t="s">
        <v>175</v>
      </c>
      <c r="C134" s="54">
        <f>N109</f>
        <v>341903.85929586319</v>
      </c>
      <c r="D134" s="29">
        <v>0</v>
      </c>
      <c r="E134" s="155"/>
      <c r="F134" s="2"/>
      <c r="G134" s="2"/>
      <c r="H134" s="100">
        <f>SUM(D134+G134)/2</f>
        <v>0</v>
      </c>
      <c r="I134" s="167">
        <f>C134+D134</f>
        <v>341903.85929586319</v>
      </c>
      <c r="J134" s="168">
        <v>7.0000000000000007E-2</v>
      </c>
      <c r="K134" s="2"/>
      <c r="L134" s="2"/>
      <c r="M134" s="39">
        <f>(I134*J134)</f>
        <v>23933.270150710425</v>
      </c>
      <c r="N134" s="100">
        <f>H134+I134-M134</f>
        <v>317970.58914515277</v>
      </c>
      <c r="Q134" s="30"/>
      <c r="R134" s="30"/>
    </row>
    <row r="135" spans="1:18" x14ac:dyDescent="0.25">
      <c r="A135" s="59">
        <v>14.1</v>
      </c>
      <c r="B135" s="3" t="s">
        <v>176</v>
      </c>
      <c r="C135" s="54">
        <f>N110+N111</f>
        <v>535276.27863041195</v>
      </c>
      <c r="D135" s="29">
        <v>0</v>
      </c>
      <c r="E135" s="155"/>
      <c r="F135" s="2"/>
      <c r="G135" s="2"/>
      <c r="H135" s="100">
        <f>SUM(D135+G135)/2</f>
        <v>0</v>
      </c>
      <c r="I135" s="167">
        <f>C135+H135</f>
        <v>535276.27863041195</v>
      </c>
      <c r="J135" s="168">
        <v>0.05</v>
      </c>
      <c r="K135" s="2"/>
      <c r="L135" s="2"/>
      <c r="M135" s="39">
        <f>I135*J135</f>
        <v>26763.813931520599</v>
      </c>
      <c r="N135" s="100">
        <f>H135+I135-M135</f>
        <v>508512.46469889133</v>
      </c>
      <c r="Q135" s="30"/>
      <c r="R135" s="30"/>
    </row>
    <row r="136" spans="1:18" x14ac:dyDescent="0.25">
      <c r="A136" s="59">
        <v>14.1</v>
      </c>
      <c r="B136" s="3" t="s">
        <v>185</v>
      </c>
      <c r="C136" s="54">
        <v>0</v>
      </c>
      <c r="D136" s="29">
        <v>0</v>
      </c>
      <c r="E136" s="155">
        <v>0</v>
      </c>
      <c r="F136" s="2"/>
      <c r="G136" s="2"/>
      <c r="H136" s="160">
        <f>SUM(D136+E136+G136)/2</f>
        <v>0</v>
      </c>
      <c r="I136" s="160">
        <f>E136</f>
        <v>0</v>
      </c>
      <c r="J136" s="161">
        <f>J135*1.5</f>
        <v>7.5000000000000011E-2</v>
      </c>
      <c r="K136" s="2"/>
      <c r="L136" s="2"/>
      <c r="M136" s="39">
        <f>(I136*J136)</f>
        <v>0</v>
      </c>
      <c r="N136" s="160">
        <f>C136+E136-M136</f>
        <v>0</v>
      </c>
      <c r="Q136" s="30"/>
      <c r="R136" s="30"/>
    </row>
    <row r="137" spans="1:18" x14ac:dyDescent="0.25">
      <c r="A137" s="164">
        <v>17</v>
      </c>
      <c r="B137" s="57" t="s">
        <v>177</v>
      </c>
      <c r="C137" s="54">
        <f>N112</f>
        <v>207938.52384044888</v>
      </c>
      <c r="D137" s="99">
        <v>0</v>
      </c>
      <c r="E137" s="29"/>
      <c r="F137" s="2"/>
      <c r="G137" s="2"/>
      <c r="H137" s="160">
        <f>SUM(E137+G137)/2</f>
        <v>0</v>
      </c>
      <c r="I137" s="160">
        <f>C137+D137</f>
        <v>207938.52384044888</v>
      </c>
      <c r="J137" s="161">
        <v>0.08</v>
      </c>
      <c r="K137" s="2"/>
      <c r="L137" s="2"/>
      <c r="M137" s="39">
        <f>(I137*J137)</f>
        <v>16635.081907235912</v>
      </c>
      <c r="N137" s="100">
        <f>H137+I137-M137</f>
        <v>191303.44193321298</v>
      </c>
      <c r="Q137" s="30"/>
      <c r="R137" s="30"/>
    </row>
    <row r="138" spans="1:18" x14ac:dyDescent="0.25">
      <c r="A138" s="59">
        <v>43.2</v>
      </c>
      <c r="B138" s="3" t="s">
        <v>178</v>
      </c>
      <c r="C138" s="54">
        <f>N113</f>
        <v>1847.663726778007</v>
      </c>
      <c r="D138" s="29">
        <v>0</v>
      </c>
      <c r="E138" s="155"/>
      <c r="F138" s="2"/>
      <c r="G138" s="2"/>
      <c r="H138" s="160"/>
      <c r="I138" s="167">
        <f>C138+H138</f>
        <v>1847.663726778007</v>
      </c>
      <c r="J138" s="168">
        <v>0.5</v>
      </c>
      <c r="K138" s="2"/>
      <c r="L138" s="2"/>
      <c r="M138" s="39">
        <f>(I138*J138)</f>
        <v>923.8318633890035</v>
      </c>
      <c r="N138" s="100">
        <f>H138+I138-M138</f>
        <v>923.8318633890035</v>
      </c>
      <c r="Q138" s="30"/>
      <c r="R138" s="30"/>
    </row>
    <row r="139" spans="1:18" x14ac:dyDescent="0.25">
      <c r="A139" s="159">
        <v>45</v>
      </c>
      <c r="B139" s="3" t="s">
        <v>179</v>
      </c>
      <c r="C139" s="54">
        <f>N114</f>
        <v>30.307216861747044</v>
      </c>
      <c r="D139" s="29">
        <v>0</v>
      </c>
      <c r="E139" s="155"/>
      <c r="F139" s="2"/>
      <c r="G139" s="2"/>
      <c r="H139" s="160">
        <v>0</v>
      </c>
      <c r="I139" s="160">
        <f>C139+H139</f>
        <v>30.307216861747044</v>
      </c>
      <c r="J139" s="161">
        <v>0.45</v>
      </c>
      <c r="K139" s="2"/>
      <c r="L139" s="170"/>
      <c r="M139" s="39">
        <f>(I139*J139)</f>
        <v>13.63824758778617</v>
      </c>
      <c r="N139" s="100">
        <f>H139+I139-M139</f>
        <v>16.668969273960876</v>
      </c>
      <c r="Q139" s="30"/>
      <c r="R139" s="30"/>
    </row>
    <row r="140" spans="1:18" x14ac:dyDescent="0.25">
      <c r="A140" s="164">
        <v>47</v>
      </c>
      <c r="B140" s="56" t="s">
        <v>180</v>
      </c>
      <c r="C140" s="54">
        <f>N115+N116</f>
        <v>59817433.211385086</v>
      </c>
      <c r="D140" s="29">
        <v>0</v>
      </c>
      <c r="E140" s="155"/>
      <c r="F140" s="2"/>
      <c r="G140" s="2"/>
      <c r="H140" s="160">
        <f>SUM(D140+G140)/2</f>
        <v>0</v>
      </c>
      <c r="I140" s="160">
        <f>C140+H140+F140</f>
        <v>59817433.211385086</v>
      </c>
      <c r="J140" s="161">
        <v>0.08</v>
      </c>
      <c r="K140" s="2"/>
      <c r="L140" s="2"/>
      <c r="M140" s="39">
        <f>I140*J140</f>
        <v>4785394.6569108069</v>
      </c>
      <c r="N140" s="100">
        <f>H140+I140-M140</f>
        <v>55032038.554474279</v>
      </c>
      <c r="Q140" s="30"/>
      <c r="R140" s="30"/>
    </row>
    <row r="141" spans="1:18" x14ac:dyDescent="0.25">
      <c r="A141" s="164">
        <v>47</v>
      </c>
      <c r="B141" s="56" t="s">
        <v>181</v>
      </c>
      <c r="C141" s="54">
        <v>0</v>
      </c>
      <c r="D141" s="171">
        <v>0</v>
      </c>
      <c r="E141" s="155">
        <v>9937175.759999983</v>
      </c>
      <c r="F141" s="2"/>
      <c r="G141" s="2"/>
      <c r="H141" s="160">
        <f>SUM(D141+E141+G141)/2</f>
        <v>4968587.8799999915</v>
      </c>
      <c r="I141" s="160">
        <f>E141</f>
        <v>9937175.759999983</v>
      </c>
      <c r="J141" s="161">
        <f>J140*1.5</f>
        <v>0.12</v>
      </c>
      <c r="K141" s="2"/>
      <c r="L141" s="2"/>
      <c r="M141" s="39">
        <f>(I141*J141)</f>
        <v>1192461.0911999978</v>
      </c>
      <c r="N141" s="160">
        <f>C141+E141-M141</f>
        <v>8744714.6687999852</v>
      </c>
      <c r="Q141" s="30"/>
      <c r="R141" s="30"/>
    </row>
    <row r="142" spans="1:18" x14ac:dyDescent="0.25">
      <c r="A142" s="159">
        <v>50</v>
      </c>
      <c r="B142" s="3" t="s">
        <v>179</v>
      </c>
      <c r="C142" s="54">
        <f>N117+N118</f>
        <v>6749.5563676498859</v>
      </c>
      <c r="D142" s="99">
        <v>0</v>
      </c>
      <c r="E142" s="29"/>
      <c r="F142" s="2">
        <v>0</v>
      </c>
      <c r="G142" s="99">
        <v>0</v>
      </c>
      <c r="H142" s="160">
        <v>0</v>
      </c>
      <c r="I142" s="179">
        <f>C142+H142+F142</f>
        <v>6749.5563676498859</v>
      </c>
      <c r="J142" s="168">
        <v>0.55000000000000004</v>
      </c>
      <c r="K142" s="2"/>
      <c r="L142" s="2"/>
      <c r="M142" s="39">
        <f>I142*J142</f>
        <v>3712.2560022074376</v>
      </c>
      <c r="N142" s="100">
        <f>H142+I142-M142</f>
        <v>3037.3003654424483</v>
      </c>
      <c r="Q142" s="30"/>
      <c r="R142" s="30"/>
    </row>
    <row r="143" spans="1:18" x14ac:dyDescent="0.25">
      <c r="A143" s="172">
        <v>50</v>
      </c>
      <c r="B143" s="3" t="s">
        <v>182</v>
      </c>
      <c r="C143" s="54">
        <v>0</v>
      </c>
      <c r="D143" s="29">
        <v>0</v>
      </c>
      <c r="E143" s="155">
        <v>706634.14</v>
      </c>
      <c r="F143" s="2"/>
      <c r="G143" s="2">
        <v>0</v>
      </c>
      <c r="H143" s="160">
        <f>SUM(D143+E143+G143)/2</f>
        <v>353317.07</v>
      </c>
      <c r="I143" s="160">
        <f>E143</f>
        <v>706634.14</v>
      </c>
      <c r="J143" s="161">
        <f>J142*1.5</f>
        <v>0.82500000000000007</v>
      </c>
      <c r="K143" s="2"/>
      <c r="L143" s="2"/>
      <c r="M143" s="39">
        <f>(I143*J143)</f>
        <v>582973.1655</v>
      </c>
      <c r="N143" s="100">
        <f>C143+E143-M143</f>
        <v>123660.97450000001</v>
      </c>
      <c r="Q143" s="30"/>
      <c r="R143" s="30"/>
    </row>
    <row r="144" spans="1:18" x14ac:dyDescent="0.25">
      <c r="A144" s="173">
        <v>95</v>
      </c>
      <c r="B144" s="60" t="s">
        <v>10</v>
      </c>
      <c r="C144" s="54">
        <f>N119</f>
        <v>0</v>
      </c>
      <c r="D144" s="29">
        <v>0</v>
      </c>
      <c r="E144" s="29"/>
      <c r="F144" s="2">
        <v>0</v>
      </c>
      <c r="G144" s="2"/>
      <c r="H144" s="167">
        <f>SUM(E144+G144)/2</f>
        <v>0</v>
      </c>
      <c r="I144" s="155">
        <f>C144+E144+F144</f>
        <v>0</v>
      </c>
      <c r="J144" s="168">
        <v>0</v>
      </c>
      <c r="K144" s="2"/>
      <c r="L144" s="2"/>
      <c r="M144" s="39">
        <f>(I144*J144)</f>
        <v>0</v>
      </c>
      <c r="N144" s="100">
        <f>I144-M144</f>
        <v>0</v>
      </c>
      <c r="Q144" s="30"/>
      <c r="R144" s="30"/>
    </row>
    <row r="145" spans="1:18" ht="15.75" thickBot="1" x14ac:dyDescent="0.3">
      <c r="A145" s="61" t="s">
        <v>11</v>
      </c>
      <c r="B145" s="62"/>
      <c r="C145" s="63">
        <f t="shared" ref="C145:I145" si="13">SUM(C125:C144)</f>
        <v>95310129.929760724</v>
      </c>
      <c r="D145" s="64">
        <f t="shared" si="13"/>
        <v>0</v>
      </c>
      <c r="E145" s="64">
        <f t="shared" si="13"/>
        <v>13606049.349999983</v>
      </c>
      <c r="F145" s="23">
        <f t="shared" si="13"/>
        <v>0</v>
      </c>
      <c r="G145" s="27">
        <f t="shared" si="13"/>
        <v>0</v>
      </c>
      <c r="H145" s="63">
        <f t="shared" si="13"/>
        <v>5971496.1749999924</v>
      </c>
      <c r="I145" s="63">
        <f t="shared" si="13"/>
        <v>108636883.27976072</v>
      </c>
      <c r="J145" s="63" t="s">
        <v>0</v>
      </c>
      <c r="K145" s="63">
        <f>SUM(K125:K144)</f>
        <v>0</v>
      </c>
      <c r="L145" s="63">
        <f>SUM(L125:L144)</f>
        <v>0</v>
      </c>
      <c r="M145" s="63">
        <f>SUM(M125:M144)</f>
        <v>9684500.1584060919</v>
      </c>
      <c r="N145" s="63">
        <f>SUM(N125:N144)</f>
        <v>99231679.121354625</v>
      </c>
      <c r="Q145" s="30"/>
      <c r="R145" s="30"/>
    </row>
    <row r="146" spans="1:18" ht="15.75" thickTop="1" x14ac:dyDescent="0.25"/>
    <row r="147" spans="1:18" x14ac:dyDescent="0.25">
      <c r="A147">
        <v>2023</v>
      </c>
      <c r="B147" t="s">
        <v>141</v>
      </c>
    </row>
    <row r="148" spans="1:18" ht="30" x14ac:dyDescent="0.25">
      <c r="A148" s="150" t="s">
        <v>2</v>
      </c>
      <c r="B148" s="53" t="s">
        <v>3</v>
      </c>
      <c r="C148" s="53" t="s">
        <v>191</v>
      </c>
      <c r="D148" s="151"/>
      <c r="E148" s="151" t="s">
        <v>131</v>
      </c>
      <c r="F148" s="151" t="s">
        <v>4</v>
      </c>
      <c r="G148" s="151" t="s">
        <v>12</v>
      </c>
      <c r="H148" s="151" t="s">
        <v>5</v>
      </c>
      <c r="I148" s="151" t="s">
        <v>6</v>
      </c>
      <c r="J148" s="151" t="s">
        <v>57</v>
      </c>
      <c r="K148" s="151" t="s">
        <v>58</v>
      </c>
      <c r="L148" s="151" t="s">
        <v>7</v>
      </c>
      <c r="M148" s="152" t="s">
        <v>1</v>
      </c>
      <c r="N148" s="153" t="s">
        <v>8</v>
      </c>
    </row>
    <row r="149" spans="1:18" x14ac:dyDescent="0.25">
      <c r="A149" s="150"/>
      <c r="B149" s="53"/>
      <c r="C149" s="154"/>
      <c r="D149" s="28"/>
      <c r="E149" s="155"/>
      <c r="F149" s="1"/>
      <c r="G149" s="1"/>
      <c r="H149" s="1"/>
      <c r="I149" s="156"/>
      <c r="J149" s="157"/>
      <c r="K149" s="1"/>
      <c r="L149" s="1"/>
      <c r="M149" s="73"/>
      <c r="N149" s="158"/>
    </row>
    <row r="150" spans="1:18" x14ac:dyDescent="0.25">
      <c r="A150" s="159">
        <v>1</v>
      </c>
      <c r="B150" s="3" t="s">
        <v>168</v>
      </c>
      <c r="C150" s="54">
        <f>N125+N126</f>
        <v>28962002.321269557</v>
      </c>
      <c r="D150" s="29">
        <v>0</v>
      </c>
      <c r="E150" s="155"/>
      <c r="F150" s="2"/>
      <c r="G150" s="2"/>
      <c r="H150" s="100">
        <f>SUM(D150+G150)/2</f>
        <v>0</v>
      </c>
      <c r="I150" s="160">
        <f>C150+H150</f>
        <v>28962002.321269557</v>
      </c>
      <c r="J150" s="161">
        <v>0.04</v>
      </c>
      <c r="K150" s="2"/>
      <c r="L150" s="2"/>
      <c r="M150" s="39">
        <f>I150*J150</f>
        <v>1158480.0928507822</v>
      </c>
      <c r="N150" s="100">
        <f>H150+I150-M150</f>
        <v>27803522.228418775</v>
      </c>
      <c r="Q150" s="30"/>
      <c r="R150" s="30"/>
    </row>
    <row r="151" spans="1:18" x14ac:dyDescent="0.25">
      <c r="A151" s="159">
        <v>1</v>
      </c>
      <c r="B151" s="3" t="s">
        <v>169</v>
      </c>
      <c r="C151" s="54">
        <v>0</v>
      </c>
      <c r="D151" s="29">
        <v>0</v>
      </c>
      <c r="E151" s="155">
        <v>113815.00000000006</v>
      </c>
      <c r="F151" s="2" t="s">
        <v>0</v>
      </c>
      <c r="G151" s="2"/>
      <c r="H151" s="160">
        <f>SUM(D151+E151+G151)/2</f>
        <v>56907.500000000029</v>
      </c>
      <c r="I151" s="160">
        <f>E151</f>
        <v>113815.00000000006</v>
      </c>
      <c r="J151" s="161">
        <f>J150*1.5</f>
        <v>0.06</v>
      </c>
      <c r="K151" s="2"/>
      <c r="L151" s="2"/>
      <c r="M151" s="39">
        <f>I151*J151</f>
        <v>6828.9000000000033</v>
      </c>
      <c r="N151" s="160">
        <f>C151+E151-M151</f>
        <v>106986.10000000005</v>
      </c>
      <c r="Q151" s="30"/>
      <c r="R151" s="30"/>
    </row>
    <row r="152" spans="1:18" x14ac:dyDescent="0.25">
      <c r="A152" s="162">
        <v>2</v>
      </c>
      <c r="B152" s="3" t="s">
        <v>170</v>
      </c>
      <c r="C152" s="54">
        <f>N127</f>
        <v>3634802.9656027537</v>
      </c>
      <c r="D152" s="29">
        <v>0</v>
      </c>
      <c r="E152" s="155"/>
      <c r="F152" s="2"/>
      <c r="G152" s="2"/>
      <c r="H152" s="160">
        <f>SUM(D152+G152)/2</f>
        <v>0</v>
      </c>
      <c r="I152" s="160">
        <f>C152+H152</f>
        <v>3634802.9656027537</v>
      </c>
      <c r="J152" s="161">
        <v>0.06</v>
      </c>
      <c r="K152" s="2"/>
      <c r="L152" s="2"/>
      <c r="M152" s="39">
        <f>(I152*J152)</f>
        <v>218088.17793616522</v>
      </c>
      <c r="N152" s="100">
        <f>H152+I152-M152</f>
        <v>3416714.7876665886</v>
      </c>
      <c r="Q152" s="30"/>
      <c r="R152" s="30"/>
    </row>
    <row r="153" spans="1:18" x14ac:dyDescent="0.25">
      <c r="A153" s="164">
        <v>8</v>
      </c>
      <c r="B153" s="56" t="s">
        <v>171</v>
      </c>
      <c r="C153" s="54">
        <f>N128+N129</f>
        <v>1315244.6933622819</v>
      </c>
      <c r="D153" s="99">
        <v>0</v>
      </c>
      <c r="E153" s="29"/>
      <c r="F153" s="2"/>
      <c r="G153" s="2"/>
      <c r="H153" s="160">
        <f>SUM(E153+G153)/2</f>
        <v>0</v>
      </c>
      <c r="I153" s="160">
        <f>C153+H153</f>
        <v>1315244.6933622819</v>
      </c>
      <c r="J153" s="161">
        <v>0.2</v>
      </c>
      <c r="K153" s="2"/>
      <c r="L153" s="2"/>
      <c r="M153" s="39">
        <f>I153*J153</f>
        <v>263048.93867245637</v>
      </c>
      <c r="N153" s="100">
        <f>H153+I153-M153</f>
        <v>1052195.7546898255</v>
      </c>
      <c r="Q153" s="30"/>
      <c r="R153" s="30"/>
    </row>
    <row r="154" spans="1:18" x14ac:dyDescent="0.25">
      <c r="A154" s="164">
        <v>8</v>
      </c>
      <c r="B154" s="56" t="s">
        <v>62</v>
      </c>
      <c r="C154" s="54">
        <v>0</v>
      </c>
      <c r="D154" s="29">
        <v>0</v>
      </c>
      <c r="E154" s="155">
        <v>157617.06999999966</v>
      </c>
      <c r="F154" s="2"/>
      <c r="G154" s="2"/>
      <c r="H154" s="160">
        <f>SUM(D154+E154+G154)/2</f>
        <v>78808.534999999829</v>
      </c>
      <c r="I154" s="160">
        <f>E154-157617</f>
        <v>6.9999999657738954E-2</v>
      </c>
      <c r="J154" s="161">
        <f>J153*1.5</f>
        <v>0.30000000000000004</v>
      </c>
      <c r="K154" s="2"/>
      <c r="L154" s="2"/>
      <c r="M154" s="39">
        <f>(I154*J154)+157617</f>
        <v>157617.02099999989</v>
      </c>
      <c r="N154" s="160">
        <f>C154+E154-M154</f>
        <v>4.8999999766238034E-2</v>
      </c>
      <c r="O154" t="s">
        <v>129</v>
      </c>
      <c r="Q154" s="30"/>
      <c r="R154" s="30"/>
    </row>
    <row r="155" spans="1:18" x14ac:dyDescent="0.25">
      <c r="A155" s="159">
        <v>10</v>
      </c>
      <c r="B155" s="3" t="s">
        <v>188</v>
      </c>
      <c r="C155" s="54">
        <f>N130+N131</f>
        <v>397450.64637039974</v>
      </c>
      <c r="D155" s="29">
        <v>0</v>
      </c>
      <c r="E155" s="155"/>
      <c r="F155" s="2"/>
      <c r="G155" s="2">
        <v>0</v>
      </c>
      <c r="H155" s="100">
        <f>SUM(D155+G155)/2</f>
        <v>0</v>
      </c>
      <c r="I155" s="160">
        <f>C155+H155</f>
        <v>397450.64637039974</v>
      </c>
      <c r="J155" s="161">
        <v>0.3</v>
      </c>
      <c r="K155" s="2"/>
      <c r="L155" s="2"/>
      <c r="M155" s="39">
        <f>(I155*J155)</f>
        <v>119235.19391111992</v>
      </c>
      <c r="N155" s="100">
        <f>H155+I155-M155</f>
        <v>278215.4524592798</v>
      </c>
      <c r="Q155" s="30"/>
      <c r="R155" s="30"/>
    </row>
    <row r="156" spans="1:18" x14ac:dyDescent="0.25">
      <c r="A156" s="159">
        <v>10</v>
      </c>
      <c r="B156" s="3" t="s">
        <v>189</v>
      </c>
      <c r="C156" s="54">
        <v>0</v>
      </c>
      <c r="D156" s="29"/>
      <c r="E156" s="155">
        <v>538420.51</v>
      </c>
      <c r="F156" s="2"/>
      <c r="G156" s="2"/>
      <c r="H156" s="100"/>
      <c r="I156" s="160">
        <f>E156</f>
        <v>538420.51</v>
      </c>
      <c r="J156" s="161">
        <f>J155*1.5</f>
        <v>0.44999999999999996</v>
      </c>
      <c r="K156" s="2"/>
      <c r="L156" s="2"/>
      <c r="M156" s="39">
        <f>I156*J156</f>
        <v>242289.22949999999</v>
      </c>
      <c r="N156" s="100">
        <f>H156+I156-M156</f>
        <v>296131.28049999999</v>
      </c>
      <c r="Q156" s="30"/>
      <c r="R156" s="30"/>
    </row>
    <row r="157" spans="1:18" x14ac:dyDescent="0.25">
      <c r="A157" s="164">
        <v>12</v>
      </c>
      <c r="B157" s="57" t="s">
        <v>173</v>
      </c>
      <c r="C157" s="54">
        <f>N132+N133</f>
        <v>0</v>
      </c>
      <c r="D157" s="29">
        <v>0</v>
      </c>
      <c r="E157" s="155"/>
      <c r="F157" s="2"/>
      <c r="G157" s="2"/>
      <c r="H157" s="100"/>
      <c r="I157" s="160">
        <f>C157+E157+H157</f>
        <v>0</v>
      </c>
      <c r="J157" s="161">
        <v>1</v>
      </c>
      <c r="K157" s="2"/>
      <c r="L157" s="2"/>
      <c r="M157" s="39">
        <f>I157*J157</f>
        <v>0</v>
      </c>
      <c r="N157" s="100">
        <f>H157+I157-M157</f>
        <v>0</v>
      </c>
      <c r="Q157" s="30"/>
      <c r="R157" s="30"/>
    </row>
    <row r="158" spans="1:18" x14ac:dyDescent="0.25">
      <c r="A158" s="164">
        <v>12</v>
      </c>
      <c r="B158" s="3" t="s">
        <v>174</v>
      </c>
      <c r="C158" s="54">
        <f>N133</f>
        <v>0</v>
      </c>
      <c r="D158" s="29">
        <v>0</v>
      </c>
      <c r="E158" s="155">
        <v>547135.40000000037</v>
      </c>
      <c r="F158" s="2"/>
      <c r="G158" s="2"/>
      <c r="H158" s="100">
        <f>SUM(D158+G158)/2</f>
        <v>0</v>
      </c>
      <c r="I158" s="160">
        <f>E158</f>
        <v>547135.40000000037</v>
      </c>
      <c r="J158" s="161">
        <f>J157</f>
        <v>1</v>
      </c>
      <c r="K158" s="2"/>
      <c r="L158" s="2"/>
      <c r="M158" s="39">
        <f>(I158*J158)</f>
        <v>547135.40000000037</v>
      </c>
      <c r="N158" s="160">
        <f>C158+E158-M158</f>
        <v>0</v>
      </c>
      <c r="Q158" s="30"/>
      <c r="R158" s="30"/>
    </row>
    <row r="159" spans="1:18" x14ac:dyDescent="0.25">
      <c r="A159" s="59">
        <v>14.1</v>
      </c>
      <c r="B159" s="3" t="s">
        <v>175</v>
      </c>
      <c r="C159" s="54">
        <f>N134</f>
        <v>317970.58914515277</v>
      </c>
      <c r="D159" s="29">
        <v>0</v>
      </c>
      <c r="E159" s="155"/>
      <c r="F159" s="2"/>
      <c r="G159" s="2"/>
      <c r="H159" s="100">
        <f>SUM(D159+G159)/2</f>
        <v>0</v>
      </c>
      <c r="I159" s="167">
        <f>C159+D159</f>
        <v>317970.58914515277</v>
      </c>
      <c r="J159" s="168">
        <v>7.0000000000000007E-2</v>
      </c>
      <c r="K159" s="2"/>
      <c r="L159" s="2"/>
      <c r="M159" s="39">
        <f>(I159*J159)</f>
        <v>22257.941240160697</v>
      </c>
      <c r="N159" s="100">
        <f>H159+I159-M159</f>
        <v>295712.6479049921</v>
      </c>
      <c r="Q159" s="30"/>
      <c r="R159" s="30"/>
    </row>
    <row r="160" spans="1:18" x14ac:dyDescent="0.25">
      <c r="A160" s="59">
        <v>14.1</v>
      </c>
      <c r="B160" s="3" t="s">
        <v>176</v>
      </c>
      <c r="C160" s="54">
        <f>N135+N136</f>
        <v>508512.46469889133</v>
      </c>
      <c r="D160" s="29">
        <v>0</v>
      </c>
      <c r="E160" s="155"/>
      <c r="F160" s="2"/>
      <c r="G160" s="2"/>
      <c r="H160" s="100">
        <f>SUM(D160+G160)/2</f>
        <v>0</v>
      </c>
      <c r="I160" s="167">
        <f>C160+H160</f>
        <v>508512.46469889133</v>
      </c>
      <c r="J160" s="168">
        <v>0.05</v>
      </c>
      <c r="K160" s="2"/>
      <c r="L160" s="2"/>
      <c r="M160" s="39">
        <f>I160*J160</f>
        <v>25425.623234944567</v>
      </c>
      <c r="N160" s="100">
        <f>H160+I160-M160</f>
        <v>483086.84146394674</v>
      </c>
      <c r="Q160" s="30"/>
      <c r="R160" s="30"/>
    </row>
    <row r="161" spans="1:18" x14ac:dyDescent="0.25">
      <c r="A161" s="59">
        <v>14.1</v>
      </c>
      <c r="B161" s="3" t="s">
        <v>185</v>
      </c>
      <c r="C161" s="54">
        <v>0</v>
      </c>
      <c r="D161" s="29">
        <v>0</v>
      </c>
      <c r="E161" s="155">
        <v>0</v>
      </c>
      <c r="F161" s="2"/>
      <c r="G161" s="2"/>
      <c r="H161" s="160">
        <f>SUM(D161+E161+G161)/2</f>
        <v>0</v>
      </c>
      <c r="I161" s="160">
        <f>E161</f>
        <v>0</v>
      </c>
      <c r="J161" s="161">
        <f>J160*1.5</f>
        <v>7.5000000000000011E-2</v>
      </c>
      <c r="K161" s="2"/>
      <c r="L161" s="2"/>
      <c r="M161" s="39">
        <f t="shared" ref="M161:M166" si="14">(I161*J161)</f>
        <v>0</v>
      </c>
      <c r="N161" s="160">
        <f>C161+E161-M161</f>
        <v>0</v>
      </c>
      <c r="Q161" s="30"/>
      <c r="R161" s="30"/>
    </row>
    <row r="162" spans="1:18" x14ac:dyDescent="0.25">
      <c r="A162" s="164">
        <v>17</v>
      </c>
      <c r="B162" s="57" t="s">
        <v>177</v>
      </c>
      <c r="C162" s="54">
        <f>N137</f>
        <v>191303.44193321298</v>
      </c>
      <c r="D162" s="99">
        <v>0</v>
      </c>
      <c r="E162" s="29"/>
      <c r="F162" s="2"/>
      <c r="G162" s="2"/>
      <c r="H162" s="160">
        <f>SUM(E162+G162)/2</f>
        <v>0</v>
      </c>
      <c r="I162" s="160">
        <f>C162+D162</f>
        <v>191303.44193321298</v>
      </c>
      <c r="J162" s="161">
        <v>0.08</v>
      </c>
      <c r="K162" s="2"/>
      <c r="L162" s="2"/>
      <c r="M162" s="39">
        <f t="shared" si="14"/>
        <v>15304.275354657038</v>
      </c>
      <c r="N162" s="100">
        <f t="shared" ref="N162:N167" si="15">H162+I162-M162</f>
        <v>175999.16657855595</v>
      </c>
      <c r="Q162" s="30"/>
      <c r="R162" s="30"/>
    </row>
    <row r="163" spans="1:18" x14ac:dyDescent="0.25">
      <c r="A163" s="59">
        <v>43.2</v>
      </c>
      <c r="B163" s="3" t="s">
        <v>178</v>
      </c>
      <c r="C163" s="54">
        <f>N138</f>
        <v>923.8318633890035</v>
      </c>
      <c r="D163" s="29">
        <v>0</v>
      </c>
      <c r="E163" s="155"/>
      <c r="F163" s="2"/>
      <c r="G163" s="2"/>
      <c r="H163" s="160"/>
      <c r="I163" s="167">
        <f>C163+H163</f>
        <v>923.8318633890035</v>
      </c>
      <c r="J163" s="168">
        <v>0.5</v>
      </c>
      <c r="K163" s="2"/>
      <c r="L163" s="2"/>
      <c r="M163" s="39">
        <f t="shared" si="14"/>
        <v>461.91593169450175</v>
      </c>
      <c r="N163" s="100">
        <f t="shared" si="15"/>
        <v>461.91593169450175</v>
      </c>
      <c r="Q163" s="30"/>
      <c r="R163" s="30"/>
    </row>
    <row r="164" spans="1:18" x14ac:dyDescent="0.25">
      <c r="A164" s="159">
        <v>45</v>
      </c>
      <c r="B164" s="3" t="s">
        <v>179</v>
      </c>
      <c r="C164" s="54">
        <f>N139</f>
        <v>16.668969273960876</v>
      </c>
      <c r="D164" s="29">
        <v>0</v>
      </c>
      <c r="E164" s="155"/>
      <c r="F164" s="2"/>
      <c r="G164" s="2"/>
      <c r="H164" s="160">
        <v>0</v>
      </c>
      <c r="I164" s="176">
        <f>C164+H164</f>
        <v>16.668969273960876</v>
      </c>
      <c r="J164" s="161">
        <v>0.45</v>
      </c>
      <c r="K164" s="2"/>
      <c r="L164" s="170"/>
      <c r="M164" s="39">
        <f t="shared" si="14"/>
        <v>7.5010361732823947</v>
      </c>
      <c r="N164" s="100">
        <f t="shared" si="15"/>
        <v>9.1679331006784821</v>
      </c>
      <c r="Q164" s="30"/>
      <c r="R164" s="30"/>
    </row>
    <row r="165" spans="1:18" x14ac:dyDescent="0.25">
      <c r="A165" s="59">
        <v>46</v>
      </c>
      <c r="B165" s="3" t="s">
        <v>134</v>
      </c>
      <c r="C165" s="54">
        <v>0</v>
      </c>
      <c r="D165" s="29">
        <v>0</v>
      </c>
      <c r="E165" s="155"/>
      <c r="F165" s="2"/>
      <c r="G165" s="2"/>
      <c r="H165" s="160"/>
      <c r="I165" s="160">
        <f>C165+H165</f>
        <v>0</v>
      </c>
      <c r="J165" s="168">
        <v>0.3</v>
      </c>
      <c r="K165" s="2"/>
      <c r="L165" s="170"/>
      <c r="M165" s="39">
        <f t="shared" si="14"/>
        <v>0</v>
      </c>
      <c r="N165" s="100">
        <f t="shared" si="15"/>
        <v>0</v>
      </c>
      <c r="Q165" s="30"/>
      <c r="R165" s="30"/>
    </row>
    <row r="166" spans="1:18" x14ac:dyDescent="0.25">
      <c r="A166" s="59">
        <v>46</v>
      </c>
      <c r="B166" s="3" t="s">
        <v>135</v>
      </c>
      <c r="C166" s="54">
        <v>0</v>
      </c>
      <c r="D166" s="29">
        <v>0</v>
      </c>
      <c r="E166" s="155">
        <v>132011.56</v>
      </c>
      <c r="F166" s="2"/>
      <c r="G166" s="2"/>
      <c r="H166" s="160"/>
      <c r="I166" s="160">
        <f>E166</f>
        <v>132011.56</v>
      </c>
      <c r="J166" s="161">
        <f>J165*1.5</f>
        <v>0.44999999999999996</v>
      </c>
      <c r="K166" s="2"/>
      <c r="L166" s="170"/>
      <c r="M166" s="39">
        <f t="shared" si="14"/>
        <v>59405.20199999999</v>
      </c>
      <c r="N166" s="100">
        <f t="shared" si="15"/>
        <v>72606.358000000007</v>
      </c>
      <c r="Q166" s="30"/>
      <c r="R166" s="30"/>
    </row>
    <row r="167" spans="1:18" x14ac:dyDescent="0.25">
      <c r="A167" s="164">
        <v>47</v>
      </c>
      <c r="B167" s="56" t="s">
        <v>180</v>
      </c>
      <c r="C167" s="54">
        <f>N140+N141</f>
        <v>63776753.223274261</v>
      </c>
      <c r="D167" s="29">
        <v>0</v>
      </c>
      <c r="E167" s="155"/>
      <c r="F167" s="2"/>
      <c r="G167" s="2"/>
      <c r="H167" s="160">
        <f>SUM(D167+G167)/2</f>
        <v>0</v>
      </c>
      <c r="I167" s="160">
        <f>C167+H167+F167</f>
        <v>63776753.223274261</v>
      </c>
      <c r="J167" s="161">
        <v>0.08</v>
      </c>
      <c r="K167" s="2"/>
      <c r="L167" s="2"/>
      <c r="M167" s="39">
        <f>I167*J167</f>
        <v>5102140.2578619411</v>
      </c>
      <c r="N167" s="100">
        <f t="shared" si="15"/>
        <v>58674612.965412319</v>
      </c>
      <c r="Q167" s="30"/>
      <c r="R167" s="30"/>
    </row>
    <row r="168" spans="1:18" x14ac:dyDescent="0.25">
      <c r="A168" s="164">
        <v>47</v>
      </c>
      <c r="B168" s="56" t="s">
        <v>181</v>
      </c>
      <c r="C168" s="54">
        <v>0</v>
      </c>
      <c r="D168" s="171">
        <v>0</v>
      </c>
      <c r="E168" s="155">
        <v>10010654.469999988</v>
      </c>
      <c r="F168" s="2"/>
      <c r="G168" s="2"/>
      <c r="H168" s="160">
        <f>SUM(D168+E168+G168)/2</f>
        <v>5005327.2349999938</v>
      </c>
      <c r="I168" s="160">
        <f>E168</f>
        <v>10010654.469999988</v>
      </c>
      <c r="J168" s="161">
        <f>J167*1.5</f>
        <v>0.12</v>
      </c>
      <c r="K168" s="2"/>
      <c r="L168" s="2"/>
      <c r="M168" s="39">
        <f>(I168*J168)</f>
        <v>1201278.5363999985</v>
      </c>
      <c r="N168" s="160">
        <f>C168+E168-M168</f>
        <v>8809375.9335999899</v>
      </c>
      <c r="Q168" s="30"/>
      <c r="R168" s="30"/>
    </row>
    <row r="169" spans="1:18" x14ac:dyDescent="0.25">
      <c r="A169" s="159">
        <v>50</v>
      </c>
      <c r="B169" s="3" t="s">
        <v>179</v>
      </c>
      <c r="C169" s="54">
        <f>N142+N143</f>
        <v>126698.27486544246</v>
      </c>
      <c r="D169" s="99">
        <v>0</v>
      </c>
      <c r="E169" s="29"/>
      <c r="F169" s="2">
        <v>0</v>
      </c>
      <c r="G169" s="99">
        <v>0</v>
      </c>
      <c r="H169" s="160">
        <v>0</v>
      </c>
      <c r="I169" s="167">
        <f>C169+H169+F169</f>
        <v>126698.27486544246</v>
      </c>
      <c r="J169" s="168">
        <v>0.55000000000000004</v>
      </c>
      <c r="K169" s="2"/>
      <c r="L169" s="2"/>
      <c r="M169" s="39">
        <f>I169*J169</f>
        <v>69684.051175993358</v>
      </c>
      <c r="N169" s="100">
        <f>H169+I169-M169</f>
        <v>57014.223689449107</v>
      </c>
      <c r="Q169" s="30"/>
      <c r="R169" s="30"/>
    </row>
    <row r="170" spans="1:18" x14ac:dyDescent="0.25">
      <c r="A170" s="172">
        <v>50</v>
      </c>
      <c r="B170" s="3" t="s">
        <v>182</v>
      </c>
      <c r="C170" s="54">
        <v>0</v>
      </c>
      <c r="D170" s="29">
        <v>0</v>
      </c>
      <c r="E170" s="155">
        <v>458849.89999999997</v>
      </c>
      <c r="F170" s="2"/>
      <c r="G170" s="2">
        <v>0</v>
      </c>
      <c r="H170" s="160">
        <f>SUM(D170+E170+G170)/2</f>
        <v>229424.94999999998</v>
      </c>
      <c r="I170" s="160">
        <f>E170</f>
        <v>458849.89999999997</v>
      </c>
      <c r="J170" s="161">
        <f>J169*1.5</f>
        <v>0.82500000000000007</v>
      </c>
      <c r="K170" s="2"/>
      <c r="L170" s="2"/>
      <c r="M170" s="39">
        <f>(I170*J170)</f>
        <v>378551.16749999998</v>
      </c>
      <c r="N170" s="100">
        <f>C170+E170-M170</f>
        <v>80298.732499999984</v>
      </c>
      <c r="Q170" s="30"/>
      <c r="R170" s="30"/>
    </row>
    <row r="171" spans="1:18" x14ac:dyDescent="0.25">
      <c r="A171" s="173">
        <v>95</v>
      </c>
      <c r="B171" s="60" t="s">
        <v>10</v>
      </c>
      <c r="C171" s="54">
        <f>N144</f>
        <v>0</v>
      </c>
      <c r="D171" s="29">
        <v>0</v>
      </c>
      <c r="E171" s="29"/>
      <c r="F171" s="2">
        <v>0</v>
      </c>
      <c r="G171" s="2"/>
      <c r="H171" s="167">
        <f>SUM(E171+G171)/2</f>
        <v>0</v>
      </c>
      <c r="I171" s="155">
        <f>C171+E171+F171</f>
        <v>0</v>
      </c>
      <c r="J171" s="168">
        <v>0</v>
      </c>
      <c r="K171" s="2"/>
      <c r="L171" s="2"/>
      <c r="M171" s="39">
        <f>(I171*J171)</f>
        <v>0</v>
      </c>
      <c r="N171" s="100">
        <f>I171-M171</f>
        <v>0</v>
      </c>
      <c r="Q171" s="30"/>
      <c r="R171" s="30"/>
    </row>
    <row r="172" spans="1:18" ht="15.75" thickBot="1" x14ac:dyDescent="0.3">
      <c r="A172" s="61" t="s">
        <v>11</v>
      </c>
      <c r="B172" s="62"/>
      <c r="C172" s="63">
        <f t="shared" ref="C172:I172" si="16">SUM(C150:C171)</f>
        <v>99231679.12135461</v>
      </c>
      <c r="D172" s="64">
        <f t="shared" si="16"/>
        <v>0</v>
      </c>
      <c r="E172" s="64">
        <f t="shared" si="16"/>
        <v>11958503.909999987</v>
      </c>
      <c r="F172" s="23">
        <f t="shared" si="16"/>
        <v>0</v>
      </c>
      <c r="G172" s="27">
        <f t="shared" si="16"/>
        <v>0</v>
      </c>
      <c r="H172" s="63">
        <f t="shared" si="16"/>
        <v>5370468.2199999942</v>
      </c>
      <c r="I172" s="63">
        <f t="shared" si="16"/>
        <v>111032566.03135462</v>
      </c>
      <c r="J172" s="63" t="s">
        <v>0</v>
      </c>
      <c r="K172" s="63">
        <f>SUM(K150:K171)</f>
        <v>0</v>
      </c>
      <c r="L172" s="63">
        <f>SUM(L150:L171)</f>
        <v>0</v>
      </c>
      <c r="M172" s="63">
        <f>SUM(M150:M171)</f>
        <v>9587239.4256060869</v>
      </c>
      <c r="N172" s="63">
        <f>SUM(N150:N171)</f>
        <v>101602943.60574852</v>
      </c>
      <c r="Q172" s="30"/>
      <c r="R172" s="30"/>
    </row>
    <row r="173" spans="1:18" ht="15.75" thickTop="1" x14ac:dyDescent="0.25"/>
    <row r="174" spans="1:18" x14ac:dyDescent="0.25">
      <c r="A174">
        <v>2024</v>
      </c>
      <c r="B174" t="s">
        <v>192</v>
      </c>
    </row>
    <row r="175" spans="1:18" ht="30" x14ac:dyDescent="0.25">
      <c r="A175" s="150" t="s">
        <v>2</v>
      </c>
      <c r="B175" s="53" t="s">
        <v>3</v>
      </c>
      <c r="C175" s="53" t="s">
        <v>193</v>
      </c>
      <c r="D175" s="151"/>
      <c r="E175" s="151" t="s">
        <v>132</v>
      </c>
      <c r="F175" s="151" t="s">
        <v>4</v>
      </c>
      <c r="G175" s="151" t="s">
        <v>12</v>
      </c>
      <c r="H175" s="151" t="s">
        <v>5</v>
      </c>
      <c r="I175" s="151" t="s">
        <v>6</v>
      </c>
      <c r="J175" s="151" t="s">
        <v>57</v>
      </c>
      <c r="K175" s="151" t="s">
        <v>58</v>
      </c>
      <c r="L175" s="151" t="s">
        <v>7</v>
      </c>
      <c r="M175" s="152" t="s">
        <v>1</v>
      </c>
      <c r="N175" s="153" t="s">
        <v>8</v>
      </c>
    </row>
    <row r="176" spans="1:18" x14ac:dyDescent="0.25">
      <c r="A176" s="150"/>
      <c r="B176" s="53"/>
      <c r="C176" s="154"/>
      <c r="D176" s="28"/>
      <c r="E176" s="155"/>
      <c r="F176" s="1"/>
      <c r="G176" s="1"/>
      <c r="H176" s="1"/>
      <c r="I176" s="156"/>
      <c r="J176" s="157"/>
      <c r="K176" s="1"/>
      <c r="L176" s="1"/>
      <c r="M176" s="73"/>
      <c r="N176" s="158"/>
    </row>
    <row r="177" spans="1:14" x14ac:dyDescent="0.25">
      <c r="A177" s="159">
        <v>1</v>
      </c>
      <c r="B177" s="3" t="s">
        <v>168</v>
      </c>
      <c r="C177" s="54">
        <f>N150+N151</f>
        <v>27910508.328418776</v>
      </c>
      <c r="D177" s="29">
        <v>0</v>
      </c>
      <c r="E177" s="155"/>
      <c r="F177" s="2"/>
      <c r="G177" s="2"/>
      <c r="H177" s="100">
        <f>SUM(D177+G177)/2</f>
        <v>0</v>
      </c>
      <c r="I177" s="160">
        <f>C177+H177</f>
        <v>27910508.328418776</v>
      </c>
      <c r="J177" s="161">
        <v>0.04</v>
      </c>
      <c r="K177" s="2"/>
      <c r="L177" s="2"/>
      <c r="M177" s="39">
        <f>I177*J177</f>
        <v>1116420.3331367511</v>
      </c>
      <c r="N177" s="100">
        <f>H177+I177-M177</f>
        <v>26794087.995282024</v>
      </c>
    </row>
    <row r="178" spans="1:14" x14ac:dyDescent="0.25">
      <c r="A178" s="159">
        <v>1</v>
      </c>
      <c r="B178" s="3" t="s">
        <v>169</v>
      </c>
      <c r="C178" s="54">
        <v>0</v>
      </c>
      <c r="D178" s="29">
        <v>0</v>
      </c>
      <c r="E178" s="155">
        <v>169360.35000000009</v>
      </c>
      <c r="F178" s="2" t="s">
        <v>0</v>
      </c>
      <c r="G178" s="2"/>
      <c r="H178" s="160">
        <f>SUM(D178+E178+G178)/2</f>
        <v>84680.175000000047</v>
      </c>
      <c r="I178" s="160">
        <f>E178</f>
        <v>169360.35000000009</v>
      </c>
      <c r="J178" s="161">
        <f>J177</f>
        <v>0.04</v>
      </c>
      <c r="K178" s="2"/>
      <c r="L178" s="2"/>
      <c r="M178" s="39">
        <f>I178*J178</f>
        <v>6774.4140000000043</v>
      </c>
      <c r="N178" s="160">
        <f>C178+E178-M178</f>
        <v>162585.9360000001</v>
      </c>
    </row>
    <row r="179" spans="1:14" x14ac:dyDescent="0.25">
      <c r="A179" s="162">
        <v>2</v>
      </c>
      <c r="B179" s="3" t="s">
        <v>170</v>
      </c>
      <c r="C179" s="54">
        <f>N152</f>
        <v>3416714.7876665886</v>
      </c>
      <c r="D179" s="29">
        <v>0</v>
      </c>
      <c r="E179" s="155"/>
      <c r="F179" s="2"/>
      <c r="G179" s="2"/>
      <c r="H179" s="160">
        <f>SUM(D179+G179)/2</f>
        <v>0</v>
      </c>
      <c r="I179" s="160">
        <f>C179+H179</f>
        <v>3416714.7876665886</v>
      </c>
      <c r="J179" s="161">
        <v>0.06</v>
      </c>
      <c r="K179" s="2"/>
      <c r="L179" s="2"/>
      <c r="M179" s="39">
        <f>(I179*J179)</f>
        <v>205002.8872599953</v>
      </c>
      <c r="N179" s="100">
        <f>H179+I179-M179</f>
        <v>3211711.9004065935</v>
      </c>
    </row>
    <row r="180" spans="1:14" x14ac:dyDescent="0.25">
      <c r="A180" s="164">
        <v>8</v>
      </c>
      <c r="B180" s="56" t="s">
        <v>171</v>
      </c>
      <c r="C180" s="54">
        <f>N153+N154</f>
        <v>1052195.8036898253</v>
      </c>
      <c r="D180" s="99">
        <v>0</v>
      </c>
      <c r="E180" s="29"/>
      <c r="F180" s="2"/>
      <c r="G180" s="2"/>
      <c r="H180" s="160">
        <f>SUM(E180+G180)/2</f>
        <v>0</v>
      </c>
      <c r="I180" s="160">
        <f>C180+H180</f>
        <v>1052195.8036898253</v>
      </c>
      <c r="J180" s="161">
        <v>0.2</v>
      </c>
      <c r="K180" s="2"/>
      <c r="L180" s="2"/>
      <c r="M180" s="39">
        <f>I180*J180</f>
        <v>210439.16073796508</v>
      </c>
      <c r="N180" s="100">
        <f>H180+I180-M180</f>
        <v>841756.64295186033</v>
      </c>
    </row>
    <row r="181" spans="1:14" x14ac:dyDescent="0.25">
      <c r="A181" s="164">
        <v>8</v>
      </c>
      <c r="B181" s="3" t="s">
        <v>62</v>
      </c>
      <c r="C181" s="54">
        <v>0</v>
      </c>
      <c r="D181" s="29">
        <v>0</v>
      </c>
      <c r="E181" s="155">
        <v>150937.20000000042</v>
      </c>
      <c r="F181" s="2"/>
      <c r="G181" s="2"/>
      <c r="H181" s="160">
        <f>SUM(D181+E181+G181)/2</f>
        <v>75468.60000000021</v>
      </c>
      <c r="I181" s="160">
        <f>E181</f>
        <v>150937.20000000042</v>
      </c>
      <c r="J181" s="161">
        <f>J180</f>
        <v>0.2</v>
      </c>
      <c r="K181" s="2"/>
      <c r="L181" s="2"/>
      <c r="M181" s="39">
        <f>(I181*J181)</f>
        <v>30187.440000000086</v>
      </c>
      <c r="N181" s="160">
        <f>C181+E181-M181</f>
        <v>120749.76000000033</v>
      </c>
    </row>
    <row r="182" spans="1:14" x14ac:dyDescent="0.25">
      <c r="A182" s="159">
        <v>10</v>
      </c>
      <c r="B182" s="3" t="s">
        <v>188</v>
      </c>
      <c r="C182" s="54">
        <f>N155+N156</f>
        <v>574346.73295927979</v>
      </c>
      <c r="D182" s="29">
        <v>0</v>
      </c>
      <c r="E182" s="155"/>
      <c r="F182" s="2"/>
      <c r="G182" s="2">
        <v>0</v>
      </c>
      <c r="H182" s="100">
        <f>SUM(D182+G182)/2</f>
        <v>0</v>
      </c>
      <c r="I182" s="160">
        <f>C182+H182</f>
        <v>574346.73295927979</v>
      </c>
      <c r="J182" s="161">
        <v>0.3</v>
      </c>
      <c r="K182" s="2"/>
      <c r="L182" s="2"/>
      <c r="M182" s="39">
        <f>(I182*J182)</f>
        <v>172304.01988778394</v>
      </c>
      <c r="N182" s="100">
        <f>H182+I182-M182</f>
        <v>402042.71307149588</v>
      </c>
    </row>
    <row r="183" spans="1:14" x14ac:dyDescent="0.25">
      <c r="A183" s="159">
        <v>10</v>
      </c>
      <c r="B183" s="3" t="s">
        <v>189</v>
      </c>
      <c r="C183" s="54">
        <v>0</v>
      </c>
      <c r="D183" s="29"/>
      <c r="E183" s="155">
        <v>211613.97999999998</v>
      </c>
      <c r="F183" s="2"/>
      <c r="G183" s="2"/>
      <c r="H183" s="100"/>
      <c r="I183" s="160">
        <f>E183</f>
        <v>211613.97999999998</v>
      </c>
      <c r="J183" s="161">
        <f>J182</f>
        <v>0.3</v>
      </c>
      <c r="K183" s="2"/>
      <c r="L183" s="2"/>
      <c r="M183" s="39">
        <f>I183*J183</f>
        <v>63484.193999999989</v>
      </c>
      <c r="N183" s="100">
        <f>H183+I183-M183</f>
        <v>148129.78599999999</v>
      </c>
    </row>
    <row r="184" spans="1:14" x14ac:dyDescent="0.25">
      <c r="A184" s="164">
        <v>12</v>
      </c>
      <c r="B184" s="57" t="s">
        <v>173</v>
      </c>
      <c r="C184" s="54">
        <f>N157+N158</f>
        <v>0</v>
      </c>
      <c r="D184" s="29">
        <v>0</v>
      </c>
      <c r="E184" s="155"/>
      <c r="F184" s="2"/>
      <c r="G184" s="2"/>
      <c r="H184" s="100"/>
      <c r="I184" s="160">
        <f>C184+E184+H184</f>
        <v>0</v>
      </c>
      <c r="J184" s="161">
        <v>1</v>
      </c>
      <c r="K184" s="2"/>
      <c r="L184" s="2"/>
      <c r="M184" s="39">
        <f>I184*J184</f>
        <v>0</v>
      </c>
      <c r="N184" s="100">
        <f>H184+I184-M184</f>
        <v>0</v>
      </c>
    </row>
    <row r="185" spans="1:14" x14ac:dyDescent="0.25">
      <c r="A185" s="164">
        <v>12</v>
      </c>
      <c r="B185" s="3" t="s">
        <v>174</v>
      </c>
      <c r="C185" s="54">
        <f>N158</f>
        <v>0</v>
      </c>
      <c r="D185" s="29">
        <v>0</v>
      </c>
      <c r="E185" s="155">
        <v>281555.75000000023</v>
      </c>
      <c r="F185" s="2"/>
      <c r="G185" s="2"/>
      <c r="H185" s="100">
        <f>SUM(D185+G185)/2</f>
        <v>0</v>
      </c>
      <c r="I185" s="160">
        <f>E185</f>
        <v>281555.75000000023</v>
      </c>
      <c r="J185" s="161">
        <f>J184</f>
        <v>1</v>
      </c>
      <c r="K185" s="2"/>
      <c r="L185" s="2"/>
      <c r="M185" s="39">
        <f>(I185*J185)</f>
        <v>281555.75000000023</v>
      </c>
      <c r="N185" s="160">
        <f>C185+E185-M185</f>
        <v>0</v>
      </c>
    </row>
    <row r="186" spans="1:14" x14ac:dyDescent="0.25">
      <c r="A186" s="59">
        <v>14.1</v>
      </c>
      <c r="B186" s="3" t="s">
        <v>175</v>
      </c>
      <c r="C186" s="54">
        <f>N159</f>
        <v>295712.6479049921</v>
      </c>
      <c r="D186" s="29">
        <v>0</v>
      </c>
      <c r="E186" s="155"/>
      <c r="F186" s="2"/>
      <c r="G186" s="2"/>
      <c r="H186" s="100">
        <f>SUM(D186+G186)/2</f>
        <v>0</v>
      </c>
      <c r="I186" s="167">
        <f>C186+D186</f>
        <v>295712.6479049921</v>
      </c>
      <c r="J186" s="168">
        <v>7.0000000000000007E-2</v>
      </c>
      <c r="K186" s="2"/>
      <c r="L186" s="2"/>
      <c r="M186" s="39">
        <f>(I186*J186)</f>
        <v>20699.885353349448</v>
      </c>
      <c r="N186" s="100">
        <f>H186+I186-M186</f>
        <v>275012.76255164266</v>
      </c>
    </row>
    <row r="187" spans="1:14" x14ac:dyDescent="0.25">
      <c r="A187" s="59">
        <v>14.1</v>
      </c>
      <c r="B187" s="3" t="s">
        <v>176</v>
      </c>
      <c r="C187" s="54">
        <f>N160+N161</f>
        <v>483086.84146394674</v>
      </c>
      <c r="D187" s="29">
        <v>0</v>
      </c>
      <c r="E187" s="155"/>
      <c r="F187" s="2"/>
      <c r="G187" s="2"/>
      <c r="H187" s="100">
        <f>SUM(D187+G187)/2</f>
        <v>0</v>
      </c>
      <c r="I187" s="167">
        <f>C187+H187</f>
        <v>483086.84146394674</v>
      </c>
      <c r="J187" s="168">
        <v>0.05</v>
      </c>
      <c r="K187" s="2"/>
      <c r="L187" s="2"/>
      <c r="M187" s="39">
        <f>I187*J187</f>
        <v>24154.342073197338</v>
      </c>
      <c r="N187" s="100">
        <f>H187+I187-M187</f>
        <v>458932.49939074938</v>
      </c>
    </row>
    <row r="188" spans="1:14" x14ac:dyDescent="0.25">
      <c r="A188" s="59">
        <v>14.1</v>
      </c>
      <c r="B188" s="3" t="s">
        <v>185</v>
      </c>
      <c r="C188" s="54">
        <v>0</v>
      </c>
      <c r="D188" s="29">
        <v>0</v>
      </c>
      <c r="E188" s="155">
        <v>0</v>
      </c>
      <c r="F188" s="2"/>
      <c r="G188" s="2"/>
      <c r="H188" s="160">
        <f>SUM(D188+E188+G188)/2</f>
        <v>0</v>
      </c>
      <c r="I188" s="160">
        <f>E188</f>
        <v>0</v>
      </c>
      <c r="J188" s="161">
        <f>J187</f>
        <v>0.05</v>
      </c>
      <c r="K188" s="2"/>
      <c r="L188" s="2"/>
      <c r="M188" s="39">
        <f t="shared" ref="M188:M193" si="17">(I188*J188)</f>
        <v>0</v>
      </c>
      <c r="N188" s="160">
        <f>C188+E188-M188</f>
        <v>0</v>
      </c>
    </row>
    <row r="189" spans="1:14" x14ac:dyDescent="0.25">
      <c r="A189" s="164">
        <v>17</v>
      </c>
      <c r="B189" s="3" t="s">
        <v>177</v>
      </c>
      <c r="C189" s="54">
        <f>N162</f>
        <v>175999.16657855595</v>
      </c>
      <c r="D189" s="99">
        <v>0</v>
      </c>
      <c r="E189" s="29"/>
      <c r="F189" s="2"/>
      <c r="G189" s="2"/>
      <c r="H189" s="160">
        <f>SUM(E189+G189)/2</f>
        <v>0</v>
      </c>
      <c r="I189" s="160">
        <f>C189+D189</f>
        <v>175999.16657855595</v>
      </c>
      <c r="J189" s="161">
        <v>0.08</v>
      </c>
      <c r="K189" s="2"/>
      <c r="L189" s="2"/>
      <c r="M189" s="39">
        <f t="shared" si="17"/>
        <v>14079.933326284476</v>
      </c>
      <c r="N189" s="100">
        <f t="shared" ref="N189:N194" si="18">H189+I189-M189</f>
        <v>161919.23325227146</v>
      </c>
    </row>
    <row r="190" spans="1:14" x14ac:dyDescent="0.25">
      <c r="A190" s="59">
        <v>43.2</v>
      </c>
      <c r="B190" s="3" t="s">
        <v>178</v>
      </c>
      <c r="C190" s="54">
        <f>N163</f>
        <v>461.91593169450175</v>
      </c>
      <c r="D190" s="29">
        <v>0</v>
      </c>
      <c r="E190" s="155"/>
      <c r="F190" s="2"/>
      <c r="G190" s="2"/>
      <c r="H190" s="160"/>
      <c r="I190" s="167">
        <f>C190+H190</f>
        <v>461.91593169450175</v>
      </c>
      <c r="J190" s="168">
        <v>0.5</v>
      </c>
      <c r="K190" s="2"/>
      <c r="L190" s="2"/>
      <c r="M190" s="39">
        <f t="shared" si="17"/>
        <v>230.95796584725088</v>
      </c>
      <c r="N190" s="100">
        <f t="shared" si="18"/>
        <v>230.95796584725088</v>
      </c>
    </row>
    <row r="191" spans="1:14" x14ac:dyDescent="0.25">
      <c r="A191" s="159">
        <v>45</v>
      </c>
      <c r="B191" s="3" t="s">
        <v>179</v>
      </c>
      <c r="C191" s="54">
        <f>N164</f>
        <v>9.1679331006784821</v>
      </c>
      <c r="D191" s="29">
        <v>0</v>
      </c>
      <c r="E191" s="155"/>
      <c r="F191" s="2"/>
      <c r="G191" s="2"/>
      <c r="H191" s="160">
        <v>0</v>
      </c>
      <c r="I191" s="160">
        <f>C191+H191</f>
        <v>9.1679331006784821</v>
      </c>
      <c r="J191" s="161">
        <v>0.45</v>
      </c>
      <c r="K191" s="2"/>
      <c r="L191" s="170"/>
      <c r="M191" s="39">
        <f t="shared" si="17"/>
        <v>4.1255698953053175</v>
      </c>
      <c r="N191" s="100">
        <f t="shared" si="18"/>
        <v>5.0423632053731646</v>
      </c>
    </row>
    <row r="192" spans="1:14" x14ac:dyDescent="0.25">
      <c r="A192" s="59">
        <v>46</v>
      </c>
      <c r="B192" s="3" t="s">
        <v>134</v>
      </c>
      <c r="C192" s="54">
        <f>SUM(N165:N166)</f>
        <v>72606.358000000007</v>
      </c>
      <c r="D192" s="29">
        <v>0</v>
      </c>
      <c r="E192" s="155"/>
      <c r="F192" s="2"/>
      <c r="G192" s="2"/>
      <c r="H192" s="160"/>
      <c r="I192" s="160">
        <f>C192+H192</f>
        <v>72606.358000000007</v>
      </c>
      <c r="J192" s="168">
        <v>0.3</v>
      </c>
      <c r="K192" s="2"/>
      <c r="L192" s="170"/>
      <c r="M192" s="39">
        <f t="shared" si="17"/>
        <v>21781.9074</v>
      </c>
      <c r="N192" s="100">
        <f t="shared" si="18"/>
        <v>50824.450600000011</v>
      </c>
    </row>
    <row r="193" spans="1:14" x14ac:dyDescent="0.25">
      <c r="A193" s="59">
        <v>46</v>
      </c>
      <c r="B193" s="3" t="s">
        <v>135</v>
      </c>
      <c r="C193" s="54">
        <v>0</v>
      </c>
      <c r="D193" s="29">
        <v>0</v>
      </c>
      <c r="E193" s="155">
        <v>0</v>
      </c>
      <c r="F193" s="2"/>
      <c r="G193" s="2"/>
      <c r="H193" s="160"/>
      <c r="I193" s="160">
        <f>E193</f>
        <v>0</v>
      </c>
      <c r="J193" s="161">
        <f>J192</f>
        <v>0.3</v>
      </c>
      <c r="K193" s="2"/>
      <c r="L193" s="170"/>
      <c r="M193" s="39">
        <f t="shared" si="17"/>
        <v>0</v>
      </c>
      <c r="N193" s="100">
        <f t="shared" si="18"/>
        <v>0</v>
      </c>
    </row>
    <row r="194" spans="1:14" x14ac:dyDescent="0.25">
      <c r="A194" s="164">
        <v>47</v>
      </c>
      <c r="B194" s="56" t="s">
        <v>180</v>
      </c>
      <c r="C194" s="54">
        <f>N167+N168</f>
        <v>67483988.899012312</v>
      </c>
      <c r="D194" s="29">
        <v>0</v>
      </c>
      <c r="E194" s="155"/>
      <c r="F194" s="2"/>
      <c r="G194" s="2"/>
      <c r="H194" s="160">
        <f>SUM(D194+G194)/2</f>
        <v>0</v>
      </c>
      <c r="I194" s="160">
        <f>C194+H194+F194</f>
        <v>67483988.899012312</v>
      </c>
      <c r="J194" s="161">
        <v>0.08</v>
      </c>
      <c r="K194" s="2"/>
      <c r="L194" s="2"/>
      <c r="M194" s="39">
        <f>I194*J194</f>
        <v>5398719.1119209854</v>
      </c>
      <c r="N194" s="100">
        <f t="shared" si="18"/>
        <v>62085269.78709133</v>
      </c>
    </row>
    <row r="195" spans="1:14" x14ac:dyDescent="0.25">
      <c r="A195" s="164">
        <v>47</v>
      </c>
      <c r="B195" s="56" t="s">
        <v>181</v>
      </c>
      <c r="C195" s="54">
        <v>0</v>
      </c>
      <c r="D195" s="171">
        <v>0</v>
      </c>
      <c r="E195" s="155">
        <v>7867855.3599999798</v>
      </c>
      <c r="F195" s="2"/>
      <c r="G195" s="2"/>
      <c r="H195" s="160">
        <f>SUM(D195+E195+G195)/2</f>
        <v>3933927.6799999899</v>
      </c>
      <c r="I195" s="160">
        <f>E195</f>
        <v>7867855.3599999798</v>
      </c>
      <c r="J195" s="161">
        <f>J194</f>
        <v>0.08</v>
      </c>
      <c r="K195" s="2"/>
      <c r="L195" s="2"/>
      <c r="M195" s="39">
        <f>(I195*J195)</f>
        <v>629428.42879999836</v>
      </c>
      <c r="N195" s="160">
        <f>C195+E195-M195</f>
        <v>7238426.9311999818</v>
      </c>
    </row>
    <row r="196" spans="1:14" x14ac:dyDescent="0.25">
      <c r="A196" s="159">
        <v>50</v>
      </c>
      <c r="B196" s="3" t="s">
        <v>179</v>
      </c>
      <c r="C196" s="54">
        <f>N169+N170</f>
        <v>137312.95618944909</v>
      </c>
      <c r="D196" s="99">
        <v>0</v>
      </c>
      <c r="E196" s="29"/>
      <c r="F196" s="2">
        <v>0</v>
      </c>
      <c r="G196" s="99">
        <v>0</v>
      </c>
      <c r="H196" s="160">
        <v>0</v>
      </c>
      <c r="I196" s="167">
        <f>C196+H196+F196</f>
        <v>137312.95618944909</v>
      </c>
      <c r="J196" s="168">
        <v>0.55000000000000004</v>
      </c>
      <c r="K196" s="2"/>
      <c r="L196" s="2"/>
      <c r="M196" s="39">
        <f>I196*J196</f>
        <v>75522.125904197004</v>
      </c>
      <c r="N196" s="100">
        <f>H196+I196-M196</f>
        <v>61790.830285252086</v>
      </c>
    </row>
    <row r="197" spans="1:14" x14ac:dyDescent="0.25">
      <c r="A197" s="172">
        <v>50</v>
      </c>
      <c r="B197" s="3" t="s">
        <v>182</v>
      </c>
      <c r="C197" s="54">
        <v>0</v>
      </c>
      <c r="D197" s="29">
        <v>0</v>
      </c>
      <c r="E197" s="155">
        <v>768757.60000000009</v>
      </c>
      <c r="F197" s="2"/>
      <c r="G197" s="2">
        <v>0</v>
      </c>
      <c r="H197" s="160">
        <f>SUM(D197+E197+G197)/2</f>
        <v>384378.80000000005</v>
      </c>
      <c r="I197" s="160">
        <f>E197</f>
        <v>768757.60000000009</v>
      </c>
      <c r="J197" s="161">
        <f>J196</f>
        <v>0.55000000000000004</v>
      </c>
      <c r="K197" s="2"/>
      <c r="L197" s="2"/>
      <c r="M197" s="39">
        <f>(I197*J197)</f>
        <v>422816.68000000011</v>
      </c>
      <c r="N197" s="100">
        <f>C197+E197-M197</f>
        <v>345940.92</v>
      </c>
    </row>
    <row r="198" spans="1:14" x14ac:dyDescent="0.25">
      <c r="A198" s="173">
        <v>95</v>
      </c>
      <c r="B198" s="60" t="s">
        <v>10</v>
      </c>
      <c r="C198" s="54">
        <f>N171</f>
        <v>0</v>
      </c>
      <c r="D198" s="29">
        <v>0</v>
      </c>
      <c r="E198" s="29"/>
      <c r="F198" s="2">
        <v>0</v>
      </c>
      <c r="G198" s="2"/>
      <c r="H198" s="167">
        <f>SUM(E198+G198)/2</f>
        <v>0</v>
      </c>
      <c r="I198" s="155">
        <f>C198+E198+F198</f>
        <v>0</v>
      </c>
      <c r="J198" s="168">
        <v>0</v>
      </c>
      <c r="K198" s="2"/>
      <c r="L198" s="2"/>
      <c r="M198" s="39">
        <f>(I198*J198)</f>
        <v>0</v>
      </c>
      <c r="N198" s="100">
        <f>I198-M198</f>
        <v>0</v>
      </c>
    </row>
    <row r="199" spans="1:14" ht="15.75" thickBot="1" x14ac:dyDescent="0.3">
      <c r="A199" s="61" t="s">
        <v>11</v>
      </c>
      <c r="B199" s="62"/>
      <c r="C199" s="63">
        <f t="shared" ref="C199:I199" si="19">SUM(C177:C198)</f>
        <v>101602943.60574853</v>
      </c>
      <c r="D199" s="64">
        <f t="shared" si="19"/>
        <v>0</v>
      </c>
      <c r="E199" s="64">
        <f t="shared" si="19"/>
        <v>9450080.2399999797</v>
      </c>
      <c r="F199" s="23">
        <f t="shared" si="19"/>
        <v>0</v>
      </c>
      <c r="G199" s="27">
        <f t="shared" si="19"/>
        <v>0</v>
      </c>
      <c r="H199" s="63">
        <f t="shared" si="19"/>
        <v>4478455.2549999906</v>
      </c>
      <c r="I199" s="63">
        <f t="shared" si="19"/>
        <v>111053023.84574851</v>
      </c>
      <c r="J199" s="63" t="s">
        <v>0</v>
      </c>
      <c r="K199" s="63">
        <f>SUM(K177:K198)</f>
        <v>0</v>
      </c>
      <c r="L199" s="63">
        <f>SUM(L177:L198)</f>
        <v>0</v>
      </c>
      <c r="M199" s="63">
        <f>SUM(M177:M198)</f>
        <v>8693605.6973362491</v>
      </c>
      <c r="N199" s="63">
        <f>SUM(N177:N198)</f>
        <v>102359418.14841226</v>
      </c>
    </row>
    <row r="200" spans="1:14" ht="15.75" thickTop="1" x14ac:dyDescent="0.25"/>
    <row r="201" spans="1:14" x14ac:dyDescent="0.25">
      <c r="A201">
        <v>2025</v>
      </c>
      <c r="B201" t="s">
        <v>194</v>
      </c>
    </row>
    <row r="202" spans="1:14" ht="30" x14ac:dyDescent="0.25">
      <c r="A202" s="150" t="s">
        <v>2</v>
      </c>
      <c r="B202" s="53" t="s">
        <v>3</v>
      </c>
      <c r="C202" s="53" t="s">
        <v>195</v>
      </c>
      <c r="D202" s="151"/>
      <c r="E202" s="151" t="s">
        <v>133</v>
      </c>
      <c r="F202" s="151" t="s">
        <v>4</v>
      </c>
      <c r="G202" s="151" t="s">
        <v>12</v>
      </c>
      <c r="H202" s="151" t="s">
        <v>5</v>
      </c>
      <c r="I202" s="151" t="s">
        <v>6</v>
      </c>
      <c r="J202" s="151" t="s">
        <v>57</v>
      </c>
      <c r="K202" s="151" t="s">
        <v>58</v>
      </c>
      <c r="L202" s="151" t="s">
        <v>7</v>
      </c>
      <c r="M202" s="152" t="s">
        <v>1</v>
      </c>
      <c r="N202" s="153" t="s">
        <v>8</v>
      </c>
    </row>
    <row r="203" spans="1:14" x14ac:dyDescent="0.25">
      <c r="A203" s="150"/>
      <c r="B203" s="53"/>
      <c r="C203" s="154"/>
      <c r="D203" s="28"/>
      <c r="E203" s="155"/>
      <c r="F203" s="1"/>
      <c r="G203" s="1"/>
      <c r="H203" s="1"/>
      <c r="I203" s="156"/>
      <c r="J203" s="157"/>
      <c r="K203" s="1"/>
      <c r="L203" s="1"/>
      <c r="M203" s="73"/>
      <c r="N203" s="158"/>
    </row>
    <row r="204" spans="1:14" x14ac:dyDescent="0.25">
      <c r="A204" s="159">
        <v>1</v>
      </c>
      <c r="B204" s="3" t="s">
        <v>168</v>
      </c>
      <c r="C204" s="54">
        <f>N177+N178</f>
        <v>26956673.931282025</v>
      </c>
      <c r="D204" s="29">
        <v>0</v>
      </c>
      <c r="E204" s="155"/>
      <c r="F204" s="2"/>
      <c r="G204" s="2"/>
      <c r="H204" s="100">
        <f>SUM(D204+G204)/2</f>
        <v>0</v>
      </c>
      <c r="I204" s="160">
        <f>C204+H204</f>
        <v>26956673.931282025</v>
      </c>
      <c r="J204" s="161">
        <v>0.04</v>
      </c>
      <c r="K204" s="2"/>
      <c r="L204" s="2"/>
      <c r="M204" s="39">
        <f>I204*J204</f>
        <v>1078266.957251281</v>
      </c>
      <c r="N204" s="100">
        <f>H204+I204-M204</f>
        <v>25878406.974030744</v>
      </c>
    </row>
    <row r="205" spans="1:14" x14ac:dyDescent="0.25">
      <c r="A205" s="159">
        <v>1</v>
      </c>
      <c r="B205" s="3" t="s">
        <v>169</v>
      </c>
      <c r="C205" s="54">
        <v>0</v>
      </c>
      <c r="D205" s="29">
        <v>0</v>
      </c>
      <c r="E205" s="155">
        <v>77282.340000000084</v>
      </c>
      <c r="F205" s="2" t="s">
        <v>0</v>
      </c>
      <c r="G205" s="2"/>
      <c r="H205" s="160">
        <f>SUM(D205+E205+G205)/2</f>
        <v>38641.170000000042</v>
      </c>
      <c r="I205" s="160">
        <f>E205</f>
        <v>77282.340000000084</v>
      </c>
      <c r="J205" s="161">
        <f>J204*1.5</f>
        <v>0.06</v>
      </c>
      <c r="K205" s="2"/>
      <c r="L205" s="2"/>
      <c r="M205" s="39">
        <f>I205*J205</f>
        <v>4636.940400000005</v>
      </c>
      <c r="N205" s="160">
        <f>C205+E205-M205</f>
        <v>72645.399600000077</v>
      </c>
    </row>
    <row r="206" spans="1:14" x14ac:dyDescent="0.25">
      <c r="A206" s="162">
        <v>2</v>
      </c>
      <c r="B206" s="3" t="s">
        <v>170</v>
      </c>
      <c r="C206" s="54">
        <f>N179</f>
        <v>3211711.9004065935</v>
      </c>
      <c r="D206" s="29">
        <v>0</v>
      </c>
      <c r="E206" s="155"/>
      <c r="F206" s="2"/>
      <c r="G206" s="2"/>
      <c r="H206" s="160">
        <f>SUM(D206+G206)/2</f>
        <v>0</v>
      </c>
      <c r="I206" s="160">
        <f>C206+H206</f>
        <v>3211711.9004065935</v>
      </c>
      <c r="J206" s="161">
        <v>0.06</v>
      </c>
      <c r="K206" s="2"/>
      <c r="L206" s="2"/>
      <c r="M206" s="39">
        <f>(I206*J206)</f>
        <v>192702.71402439559</v>
      </c>
      <c r="N206" s="100">
        <f>H206+I206-M206</f>
        <v>3019009.1863821978</v>
      </c>
    </row>
    <row r="207" spans="1:14" x14ac:dyDescent="0.25">
      <c r="A207" s="164">
        <v>8</v>
      </c>
      <c r="B207" s="56" t="s">
        <v>171</v>
      </c>
      <c r="C207" s="54">
        <f>N180+N181</f>
        <v>962506.40295186068</v>
      </c>
      <c r="D207" s="99">
        <v>0</v>
      </c>
      <c r="E207" s="29"/>
      <c r="F207" s="2"/>
      <c r="G207" s="2"/>
      <c r="H207" s="160">
        <f>SUM(E207+G207)/2</f>
        <v>0</v>
      </c>
      <c r="I207" s="160">
        <f>C207+H207</f>
        <v>962506.40295186068</v>
      </c>
      <c r="J207" s="161">
        <v>0.2</v>
      </c>
      <c r="K207" s="2"/>
      <c r="L207" s="2"/>
      <c r="M207" s="39">
        <f>I207*J207</f>
        <v>192501.28059037216</v>
      </c>
      <c r="N207" s="100">
        <f>H207+I207-M207</f>
        <v>770005.12236148852</v>
      </c>
    </row>
    <row r="208" spans="1:14" x14ac:dyDescent="0.25">
      <c r="A208" s="164">
        <v>8</v>
      </c>
      <c r="B208" s="56" t="s">
        <v>62</v>
      </c>
      <c r="C208" s="54">
        <v>0</v>
      </c>
      <c r="D208" s="29">
        <v>0</v>
      </c>
      <c r="E208" s="155">
        <v>255217.0399999998</v>
      </c>
      <c r="F208" s="2"/>
      <c r="G208" s="2"/>
      <c r="H208" s="160">
        <f>SUM(D208+E208+G208)/2</f>
        <v>127608.5199999999</v>
      </c>
      <c r="I208" s="160">
        <f>E208</f>
        <v>255217.0399999998</v>
      </c>
      <c r="J208" s="161">
        <f>J207*1.5</f>
        <v>0.30000000000000004</v>
      </c>
      <c r="K208" s="2"/>
      <c r="L208" s="2"/>
      <c r="M208" s="39">
        <f>(I208*J208)</f>
        <v>76565.11199999995</v>
      </c>
      <c r="N208" s="160">
        <f>C208+E208-M208</f>
        <v>178651.92799999984</v>
      </c>
    </row>
    <row r="209" spans="1:14" x14ac:dyDescent="0.25">
      <c r="A209" s="159">
        <v>10</v>
      </c>
      <c r="B209" s="3" t="s">
        <v>188</v>
      </c>
      <c r="C209" s="54">
        <f>N182+N183</f>
        <v>550172.49907149584</v>
      </c>
      <c r="D209" s="29">
        <v>0</v>
      </c>
      <c r="E209" s="155"/>
      <c r="F209" s="2"/>
      <c r="G209" s="2">
        <v>0</v>
      </c>
      <c r="H209" s="100">
        <f>SUM(D209+G209)/2</f>
        <v>0</v>
      </c>
      <c r="I209" s="160">
        <f>C209+H209</f>
        <v>550172.49907149584</v>
      </c>
      <c r="J209" s="161">
        <v>0.3</v>
      </c>
      <c r="K209" s="2"/>
      <c r="L209" s="2"/>
      <c r="M209" s="39">
        <f>(I209*J209)</f>
        <v>165051.74972144875</v>
      </c>
      <c r="N209" s="100">
        <f>H209+I209-M209</f>
        <v>385120.74935004709</v>
      </c>
    </row>
    <row r="210" spans="1:14" x14ac:dyDescent="0.25">
      <c r="A210" s="159">
        <v>10</v>
      </c>
      <c r="B210" s="3" t="s">
        <v>189</v>
      </c>
      <c r="C210" s="54">
        <v>0</v>
      </c>
      <c r="D210" s="29"/>
      <c r="E210" s="155">
        <v>870616.65999999992</v>
      </c>
      <c r="F210" s="2"/>
      <c r="G210" s="2"/>
      <c r="H210" s="100"/>
      <c r="I210" s="160">
        <f>E210</f>
        <v>870616.65999999992</v>
      </c>
      <c r="J210" s="161">
        <f>J209*1.5</f>
        <v>0.44999999999999996</v>
      </c>
      <c r="K210" s="2"/>
      <c r="L210" s="2"/>
      <c r="M210" s="39">
        <f>I210*J210</f>
        <v>391777.49699999992</v>
      </c>
      <c r="N210" s="100">
        <f>H210+I210-M210</f>
        <v>478839.163</v>
      </c>
    </row>
    <row r="211" spans="1:14" x14ac:dyDescent="0.25">
      <c r="A211" s="164">
        <v>12</v>
      </c>
      <c r="B211" s="57" t="s">
        <v>173</v>
      </c>
      <c r="C211" s="54">
        <f>N184+N185</f>
        <v>0</v>
      </c>
      <c r="D211" s="29">
        <v>0</v>
      </c>
      <c r="E211" s="155"/>
      <c r="F211" s="2"/>
      <c r="G211" s="2"/>
      <c r="H211" s="100"/>
      <c r="I211" s="160">
        <f>C211+E211+H211</f>
        <v>0</v>
      </c>
      <c r="J211" s="161">
        <v>1</v>
      </c>
      <c r="K211" s="2"/>
      <c r="L211" s="2"/>
      <c r="M211" s="39">
        <f>I211*J211</f>
        <v>0</v>
      </c>
      <c r="N211" s="100">
        <f>H211+I211-M211</f>
        <v>0</v>
      </c>
    </row>
    <row r="212" spans="1:14" x14ac:dyDescent="0.25">
      <c r="A212" s="164">
        <v>12</v>
      </c>
      <c r="B212" s="3" t="s">
        <v>174</v>
      </c>
      <c r="C212" s="54">
        <f>N185</f>
        <v>0</v>
      </c>
      <c r="D212" s="29">
        <v>0</v>
      </c>
      <c r="E212" s="155">
        <v>336357.07999999914</v>
      </c>
      <c r="F212" s="2"/>
      <c r="G212" s="2"/>
      <c r="H212" s="100">
        <f>SUM(D212+G212)/2</f>
        <v>0</v>
      </c>
      <c r="I212" s="160">
        <f>E212</f>
        <v>336357.07999999914</v>
      </c>
      <c r="J212" s="161">
        <f>J211</f>
        <v>1</v>
      </c>
      <c r="K212" s="2"/>
      <c r="L212" s="2"/>
      <c r="M212" s="39">
        <f>(I212*J212)</f>
        <v>336357.07999999914</v>
      </c>
      <c r="N212" s="160">
        <f>C212+E212-M212</f>
        <v>0</v>
      </c>
    </row>
    <row r="213" spans="1:14" x14ac:dyDescent="0.25">
      <c r="A213" s="59">
        <v>14.1</v>
      </c>
      <c r="B213" s="3" t="s">
        <v>175</v>
      </c>
      <c r="C213" s="54">
        <f>N186</f>
        <v>275012.76255164266</v>
      </c>
      <c r="D213" s="29">
        <v>0</v>
      </c>
      <c r="E213" s="155"/>
      <c r="F213" s="2"/>
      <c r="G213" s="2"/>
      <c r="H213" s="100">
        <f>SUM(D213+G213)/2</f>
        <v>0</v>
      </c>
      <c r="I213" s="167">
        <f>C213+D213</f>
        <v>275012.76255164266</v>
      </c>
      <c r="J213" s="168">
        <v>7.0000000000000007E-2</v>
      </c>
      <c r="K213" s="2"/>
      <c r="L213" s="2"/>
      <c r="M213" s="39">
        <f>(I213*J213)</f>
        <v>19250.89337861499</v>
      </c>
      <c r="N213" s="100">
        <f>H213+I213-M213</f>
        <v>255761.86917302766</v>
      </c>
    </row>
    <row r="214" spans="1:14" x14ac:dyDescent="0.25">
      <c r="A214" s="59">
        <v>14.1</v>
      </c>
      <c r="B214" s="3" t="s">
        <v>176</v>
      </c>
      <c r="C214" s="54">
        <f>N187+N188</f>
        <v>458932.49939074938</v>
      </c>
      <c r="D214" s="29">
        <v>0</v>
      </c>
      <c r="E214" s="155"/>
      <c r="F214" s="2"/>
      <c r="G214" s="2"/>
      <c r="H214" s="100">
        <f>SUM(D214+G214)/2</f>
        <v>0</v>
      </c>
      <c r="I214" s="167">
        <f>C214+H214</f>
        <v>458932.49939074938</v>
      </c>
      <c r="J214" s="168">
        <v>0.05</v>
      </c>
      <c r="K214" s="2"/>
      <c r="L214" s="2"/>
      <c r="M214" s="39">
        <f>I214*J214</f>
        <v>22946.624969537472</v>
      </c>
      <c r="N214" s="100">
        <f>H214+I214-M214</f>
        <v>435985.87442121189</v>
      </c>
    </row>
    <row r="215" spans="1:14" x14ac:dyDescent="0.25">
      <c r="A215" s="59">
        <v>14.1</v>
      </c>
      <c r="B215" s="3" t="s">
        <v>185</v>
      </c>
      <c r="C215" s="54">
        <v>0</v>
      </c>
      <c r="D215" s="29">
        <v>0</v>
      </c>
      <c r="E215" s="155">
        <v>0</v>
      </c>
      <c r="F215" s="2"/>
      <c r="G215" s="2"/>
      <c r="H215" s="160">
        <f>SUM(D215+E215+G215)/2</f>
        <v>0</v>
      </c>
      <c r="I215" s="160">
        <f>E215</f>
        <v>0</v>
      </c>
      <c r="J215" s="161">
        <f>J214*1.5</f>
        <v>7.5000000000000011E-2</v>
      </c>
      <c r="K215" s="2"/>
      <c r="L215" s="2"/>
      <c r="M215" s="39">
        <f t="shared" ref="M215:M220" si="20">(I215*J215)</f>
        <v>0</v>
      </c>
      <c r="N215" s="160">
        <f>C215+E215-M215</f>
        <v>0</v>
      </c>
    </row>
    <row r="216" spans="1:14" x14ac:dyDescent="0.25">
      <c r="A216" s="164">
        <v>17</v>
      </c>
      <c r="B216" s="3" t="s">
        <v>177</v>
      </c>
      <c r="C216" s="54">
        <f>N189</f>
        <v>161919.23325227146</v>
      </c>
      <c r="D216" s="99">
        <v>0</v>
      </c>
      <c r="E216" s="29"/>
      <c r="F216" s="2"/>
      <c r="G216" s="2"/>
      <c r="H216" s="160">
        <f>SUM(E216+G216)/2</f>
        <v>0</v>
      </c>
      <c r="I216" s="160">
        <f>C216+D216</f>
        <v>161919.23325227146</v>
      </c>
      <c r="J216" s="161">
        <v>0.08</v>
      </c>
      <c r="K216" s="2"/>
      <c r="L216" s="2"/>
      <c r="M216" s="39">
        <f t="shared" si="20"/>
        <v>12953.538660181717</v>
      </c>
      <c r="N216" s="100">
        <f t="shared" ref="N216:N221" si="21">H216+I216-M216</f>
        <v>148965.69459208974</v>
      </c>
    </row>
    <row r="217" spans="1:14" x14ac:dyDescent="0.25">
      <c r="A217" s="59">
        <v>43.2</v>
      </c>
      <c r="B217" s="3" t="s">
        <v>178</v>
      </c>
      <c r="C217" s="54">
        <f>N190</f>
        <v>230.95796584725088</v>
      </c>
      <c r="D217" s="29">
        <v>0</v>
      </c>
      <c r="E217" s="155"/>
      <c r="F217" s="2"/>
      <c r="G217" s="2"/>
      <c r="H217" s="160"/>
      <c r="I217" s="167">
        <f>C217+H217</f>
        <v>230.95796584725088</v>
      </c>
      <c r="J217" s="168">
        <v>0.5</v>
      </c>
      <c r="K217" s="2"/>
      <c r="L217" s="2"/>
      <c r="M217" s="39">
        <f t="shared" si="20"/>
        <v>115.47898292362544</v>
      </c>
      <c r="N217" s="100">
        <f t="shared" si="21"/>
        <v>115.47898292362544</v>
      </c>
    </row>
    <row r="218" spans="1:14" x14ac:dyDescent="0.25">
      <c r="A218" s="159">
        <v>45</v>
      </c>
      <c r="B218" s="3" t="s">
        <v>179</v>
      </c>
      <c r="C218" s="54">
        <f>N191</f>
        <v>5.0423632053731646</v>
      </c>
      <c r="D218" s="29">
        <v>0</v>
      </c>
      <c r="E218" s="155"/>
      <c r="F218" s="2"/>
      <c r="G218" s="2"/>
      <c r="H218" s="160">
        <v>0</v>
      </c>
      <c r="I218" s="160">
        <f>C218+H218</f>
        <v>5.0423632053731646</v>
      </c>
      <c r="J218" s="161">
        <v>0.45</v>
      </c>
      <c r="K218" s="2"/>
      <c r="L218" s="170"/>
      <c r="M218" s="39">
        <f t="shared" si="20"/>
        <v>2.2690634424179241</v>
      </c>
      <c r="N218" s="100">
        <f t="shared" si="21"/>
        <v>2.7732997629552405</v>
      </c>
    </row>
    <row r="219" spans="1:14" x14ac:dyDescent="0.25">
      <c r="A219" s="59">
        <v>46</v>
      </c>
      <c r="B219" s="3" t="s">
        <v>134</v>
      </c>
      <c r="C219" s="54">
        <f>SUM(N192:N193)</f>
        <v>50824.450600000011</v>
      </c>
      <c r="D219" s="29">
        <v>0</v>
      </c>
      <c r="E219" s="155"/>
      <c r="F219" s="2"/>
      <c r="G219" s="2"/>
      <c r="H219" s="160"/>
      <c r="I219" s="160">
        <f>C219+H219</f>
        <v>50824.450600000011</v>
      </c>
      <c r="J219" s="168">
        <v>0.3</v>
      </c>
      <c r="K219" s="2"/>
      <c r="L219" s="170"/>
      <c r="M219" s="39">
        <f t="shared" si="20"/>
        <v>15247.335180000002</v>
      </c>
      <c r="N219" s="100">
        <f t="shared" si="21"/>
        <v>35577.115420000009</v>
      </c>
    </row>
    <row r="220" spans="1:14" x14ac:dyDescent="0.25">
      <c r="A220" s="59">
        <v>46</v>
      </c>
      <c r="B220" s="3" t="s">
        <v>135</v>
      </c>
      <c r="C220" s="54">
        <v>0</v>
      </c>
      <c r="D220" s="29">
        <v>0</v>
      </c>
      <c r="E220" s="155">
        <v>3689965.62</v>
      </c>
      <c r="F220" s="2"/>
      <c r="G220" s="2"/>
      <c r="H220" s="160"/>
      <c r="I220" s="160">
        <f>E220</f>
        <v>3689965.62</v>
      </c>
      <c r="J220" s="161">
        <f>J219*1.5</f>
        <v>0.44999999999999996</v>
      </c>
      <c r="K220" s="2"/>
      <c r="L220" s="170"/>
      <c r="M220" s="39">
        <f t="shared" si="20"/>
        <v>1660484.5289999999</v>
      </c>
      <c r="N220" s="100">
        <f t="shared" si="21"/>
        <v>2029481.0910000002</v>
      </c>
    </row>
    <row r="221" spans="1:14" x14ac:dyDescent="0.25">
      <c r="A221" s="164">
        <v>47</v>
      </c>
      <c r="B221" s="56" t="s">
        <v>180</v>
      </c>
      <c r="C221" s="54">
        <f>N194+N195</f>
        <v>69323696.718291312</v>
      </c>
      <c r="D221" s="29">
        <v>0</v>
      </c>
      <c r="E221" s="155"/>
      <c r="F221" s="2"/>
      <c r="G221" s="2"/>
      <c r="H221" s="160">
        <f>SUM(D221+G221)/2</f>
        <v>0</v>
      </c>
      <c r="I221" s="160">
        <f>C221+H221+F221</f>
        <v>69323696.718291312</v>
      </c>
      <c r="J221" s="161">
        <v>0.08</v>
      </c>
      <c r="K221" s="2"/>
      <c r="L221" s="2"/>
      <c r="M221" s="39">
        <f>I221*J221</f>
        <v>5545895.7374633048</v>
      </c>
      <c r="N221" s="100">
        <f t="shared" si="21"/>
        <v>63777800.98082801</v>
      </c>
    </row>
    <row r="222" spans="1:14" x14ac:dyDescent="0.25">
      <c r="A222" s="164">
        <v>47</v>
      </c>
      <c r="B222" s="56" t="s">
        <v>181</v>
      </c>
      <c r="C222" s="54">
        <v>0</v>
      </c>
      <c r="D222" s="171">
        <v>0</v>
      </c>
      <c r="E222" s="155">
        <v>8452809.5700000376</v>
      </c>
      <c r="F222" s="2"/>
      <c r="G222" s="2"/>
      <c r="H222" s="160">
        <f>SUM(D222+E222+G222)/2</f>
        <v>4226404.7850000188</v>
      </c>
      <c r="I222" s="160">
        <f>E222</f>
        <v>8452809.5700000376</v>
      </c>
      <c r="J222" s="161">
        <f>J221*1.5</f>
        <v>0.12</v>
      </c>
      <c r="K222" s="2"/>
      <c r="L222" s="2"/>
      <c r="M222" s="39">
        <f>(I222*J222)</f>
        <v>1014337.1484000045</v>
      </c>
      <c r="N222" s="160">
        <f>C222+E222-M222</f>
        <v>7438472.4216000326</v>
      </c>
    </row>
    <row r="223" spans="1:14" x14ac:dyDescent="0.25">
      <c r="A223" s="159">
        <v>50</v>
      </c>
      <c r="B223" s="3" t="s">
        <v>179</v>
      </c>
      <c r="C223" s="54">
        <f>N196+N197</f>
        <v>407731.75028525206</v>
      </c>
      <c r="D223" s="99">
        <v>0</v>
      </c>
      <c r="E223" s="29"/>
      <c r="F223" s="2">
        <v>0</v>
      </c>
      <c r="G223" s="99">
        <v>0</v>
      </c>
      <c r="H223" s="160">
        <v>0</v>
      </c>
      <c r="I223" s="155">
        <f>C223+H223+F223</f>
        <v>407731.75028525206</v>
      </c>
      <c r="J223" s="168">
        <v>0.55000000000000004</v>
      </c>
      <c r="K223" s="2"/>
      <c r="L223" s="2"/>
      <c r="M223" s="39">
        <f>I223*J223</f>
        <v>224252.46265688865</v>
      </c>
      <c r="N223" s="100">
        <f>H223+I223-M223</f>
        <v>183479.28762836341</v>
      </c>
    </row>
    <row r="224" spans="1:14" x14ac:dyDescent="0.25">
      <c r="A224" s="172">
        <v>50</v>
      </c>
      <c r="B224" s="3" t="s">
        <v>182</v>
      </c>
      <c r="C224" s="54">
        <v>0</v>
      </c>
      <c r="D224" s="29">
        <v>0</v>
      </c>
      <c r="E224" s="155">
        <v>3385060.6999999993</v>
      </c>
      <c r="F224" s="2"/>
      <c r="G224" s="2">
        <v>0</v>
      </c>
      <c r="H224" s="160">
        <f>SUM(D224+E224+G224)/2</f>
        <v>1692530.3499999996</v>
      </c>
      <c r="I224" s="160">
        <f>E224</f>
        <v>3385060.6999999993</v>
      </c>
      <c r="J224" s="161">
        <f>J223*1.5</f>
        <v>0.82500000000000007</v>
      </c>
      <c r="K224" s="2"/>
      <c r="L224" s="2"/>
      <c r="M224" s="39">
        <f>(I224*J224)</f>
        <v>2792675.0774999997</v>
      </c>
      <c r="N224" s="100">
        <f>C224+E224-M224</f>
        <v>592385.62249999959</v>
      </c>
    </row>
    <row r="225" spans="1:14" x14ac:dyDescent="0.25">
      <c r="A225" s="173">
        <v>95</v>
      </c>
      <c r="B225" s="60" t="s">
        <v>10</v>
      </c>
      <c r="C225" s="54">
        <f>N198</f>
        <v>0</v>
      </c>
      <c r="D225" s="29">
        <v>0</v>
      </c>
      <c r="E225" s="29"/>
      <c r="F225" s="2">
        <v>0</v>
      </c>
      <c r="G225" s="2"/>
      <c r="H225" s="167">
        <f>SUM(E225+G225)/2</f>
        <v>0</v>
      </c>
      <c r="I225" s="155">
        <f>C225+E225+F225</f>
        <v>0</v>
      </c>
      <c r="J225" s="168">
        <v>0</v>
      </c>
      <c r="K225" s="2"/>
      <c r="L225" s="2"/>
      <c r="M225" s="39">
        <f>(I225*J225)</f>
        <v>0</v>
      </c>
      <c r="N225" s="100">
        <f>I225-M225</f>
        <v>0</v>
      </c>
    </row>
    <row r="226" spans="1:14" ht="15.75" thickBot="1" x14ac:dyDescent="0.3">
      <c r="A226" s="61" t="s">
        <v>11</v>
      </c>
      <c r="B226" s="62"/>
      <c r="C226" s="63">
        <f t="shared" ref="C226:I226" si="22">SUM(C204:C225)</f>
        <v>102359418.14841226</v>
      </c>
      <c r="D226" s="64">
        <f t="shared" si="22"/>
        <v>0</v>
      </c>
      <c r="E226" s="64">
        <f>SUM(E204:E225)</f>
        <v>17067309.010000035</v>
      </c>
      <c r="F226" s="23">
        <f t="shared" si="22"/>
        <v>0</v>
      </c>
      <c r="G226" s="27">
        <f t="shared" si="22"/>
        <v>0</v>
      </c>
      <c r="H226" s="63">
        <f t="shared" si="22"/>
        <v>6085184.8250000179</v>
      </c>
      <c r="I226" s="63">
        <f t="shared" si="22"/>
        <v>119426727.15841229</v>
      </c>
      <c r="J226" s="63" t="s">
        <v>0</v>
      </c>
      <c r="K226" s="63">
        <f>SUM(K204:K225)</f>
        <v>0</v>
      </c>
      <c r="L226" s="63">
        <f>SUM(L204:L225)</f>
        <v>0</v>
      </c>
      <c r="M226" s="63">
        <f>SUM(M204:M225)</f>
        <v>13746020.426242396</v>
      </c>
      <c r="N226" s="63">
        <f>SUM(N204:N225)</f>
        <v>105680706.7321699</v>
      </c>
    </row>
    <row r="227" spans="1:14" ht="15.75" thickTop="1" x14ac:dyDescent="0.25"/>
    <row r="228" spans="1:14" x14ac:dyDescent="0.25">
      <c r="A228">
        <v>2026</v>
      </c>
      <c r="B228" t="s">
        <v>118</v>
      </c>
    </row>
    <row r="229" spans="1:14" ht="30" x14ac:dyDescent="0.25">
      <c r="A229" s="150" t="s">
        <v>2</v>
      </c>
      <c r="B229" s="53" t="s">
        <v>3</v>
      </c>
      <c r="C229" s="53" t="s">
        <v>196</v>
      </c>
      <c r="D229" s="151"/>
      <c r="E229" s="151" t="s">
        <v>126</v>
      </c>
      <c r="F229" s="151" t="s">
        <v>4</v>
      </c>
      <c r="G229" s="151" t="s">
        <v>12</v>
      </c>
      <c r="H229" s="151" t="s">
        <v>5</v>
      </c>
      <c r="I229" s="151" t="s">
        <v>6</v>
      </c>
      <c r="J229" s="151" t="s">
        <v>57</v>
      </c>
      <c r="K229" s="151" t="s">
        <v>58</v>
      </c>
      <c r="L229" s="151" t="s">
        <v>7</v>
      </c>
      <c r="M229" s="152" t="s">
        <v>1</v>
      </c>
      <c r="N229" s="153" t="s">
        <v>8</v>
      </c>
    </row>
    <row r="230" spans="1:14" x14ac:dyDescent="0.25">
      <c r="A230" s="150"/>
      <c r="B230" s="53"/>
      <c r="C230" s="154"/>
      <c r="D230" s="28"/>
      <c r="E230" s="155"/>
      <c r="F230" s="1"/>
      <c r="G230" s="1"/>
      <c r="H230" s="1"/>
      <c r="I230" s="156"/>
      <c r="J230" s="157"/>
      <c r="K230" s="1"/>
      <c r="L230" s="1"/>
      <c r="M230" s="73"/>
      <c r="N230" s="158"/>
    </row>
    <row r="231" spans="1:14" x14ac:dyDescent="0.25">
      <c r="A231" s="159">
        <v>1</v>
      </c>
      <c r="B231" s="3" t="s">
        <v>168</v>
      </c>
      <c r="C231" s="54">
        <f>N204+N205</f>
        <v>25951052.373630743</v>
      </c>
      <c r="D231" s="29">
        <v>0</v>
      </c>
      <c r="E231" s="155"/>
      <c r="F231" s="2"/>
      <c r="G231" s="2"/>
      <c r="H231" s="100">
        <f>SUM(D231+G231)/2</f>
        <v>0</v>
      </c>
      <c r="I231" s="160">
        <f>C231+H231</f>
        <v>25951052.373630743</v>
      </c>
      <c r="J231" s="161">
        <v>0.04</v>
      </c>
      <c r="K231" s="2"/>
      <c r="L231" s="2"/>
      <c r="M231" s="39">
        <f>I231*J231</f>
        <v>1038042.0949452297</v>
      </c>
      <c r="N231" s="100">
        <f>H231+I231-M231</f>
        <v>24913010.278685514</v>
      </c>
    </row>
    <row r="232" spans="1:14" x14ac:dyDescent="0.25">
      <c r="A232" s="159">
        <v>1</v>
      </c>
      <c r="B232" s="3" t="s">
        <v>169</v>
      </c>
      <c r="C232" s="54">
        <v>0</v>
      </c>
      <c r="D232" s="29">
        <v>0</v>
      </c>
      <c r="E232" s="155">
        <v>23298.685673842516</v>
      </c>
      <c r="F232" s="2" t="s">
        <v>0</v>
      </c>
      <c r="G232" s="2"/>
      <c r="H232" s="160">
        <f>SUM(D232+E232+G232)/2</f>
        <v>11649.342836921258</v>
      </c>
      <c r="I232" s="160">
        <f>E232</f>
        <v>23298.685673842516</v>
      </c>
      <c r="J232" s="161">
        <f>J231*1.5</f>
        <v>0.06</v>
      </c>
      <c r="K232" s="2"/>
      <c r="L232" s="2"/>
      <c r="M232" s="39">
        <f>I232*J232</f>
        <v>1397.9211404305508</v>
      </c>
      <c r="N232" s="160">
        <f>C232+E232-M232</f>
        <v>21900.764533411966</v>
      </c>
    </row>
    <row r="233" spans="1:14" x14ac:dyDescent="0.25">
      <c r="A233" s="162">
        <v>2</v>
      </c>
      <c r="B233" s="3" t="s">
        <v>170</v>
      </c>
      <c r="C233" s="54">
        <f>N206</f>
        <v>3019009.1863821978</v>
      </c>
      <c r="D233" s="29">
        <v>0</v>
      </c>
      <c r="E233" s="155"/>
      <c r="F233" s="2"/>
      <c r="G233" s="2"/>
      <c r="H233" s="160">
        <f>SUM(D233+G233)/2</f>
        <v>0</v>
      </c>
      <c r="I233" s="160">
        <f>C233+H233</f>
        <v>3019009.1863821978</v>
      </c>
      <c r="J233" s="161">
        <v>0.06</v>
      </c>
      <c r="K233" s="2"/>
      <c r="L233" s="2"/>
      <c r="M233" s="39">
        <f>(I233*J233)</f>
        <v>181140.55118293187</v>
      </c>
      <c r="N233" s="100">
        <f>H233+I233-M233</f>
        <v>2837868.635199266</v>
      </c>
    </row>
    <row r="234" spans="1:14" x14ac:dyDescent="0.25">
      <c r="A234" s="164">
        <v>8</v>
      </c>
      <c r="B234" s="56" t="s">
        <v>171</v>
      </c>
      <c r="C234" s="54">
        <f>N207+N208</f>
        <v>948657.05036148836</v>
      </c>
      <c r="D234" s="99">
        <v>0</v>
      </c>
      <c r="E234" s="29"/>
      <c r="F234" s="2"/>
      <c r="G234" s="2"/>
      <c r="H234" s="160">
        <f>SUM(E234+G234)/2</f>
        <v>0</v>
      </c>
      <c r="I234" s="160">
        <f>C234+H234</f>
        <v>948657.05036148836</v>
      </c>
      <c r="J234" s="161">
        <v>0.2</v>
      </c>
      <c r="K234" s="2"/>
      <c r="L234" s="2"/>
      <c r="M234" s="39">
        <f>I234*J234</f>
        <v>189731.41007229767</v>
      </c>
      <c r="N234" s="100">
        <f>H234+I234-M234</f>
        <v>758925.64028919069</v>
      </c>
    </row>
    <row r="235" spans="1:14" x14ac:dyDescent="0.25">
      <c r="A235" s="164">
        <v>8</v>
      </c>
      <c r="B235" s="56" t="s">
        <v>62</v>
      </c>
      <c r="C235" s="54">
        <v>0</v>
      </c>
      <c r="D235" s="29">
        <v>0</v>
      </c>
      <c r="E235" s="155">
        <v>5698.2146520094448</v>
      </c>
      <c r="F235" s="2"/>
      <c r="G235" s="2"/>
      <c r="H235" s="160">
        <f>SUM(D235+E235+G235)/2</f>
        <v>2849.1073260047224</v>
      </c>
      <c r="I235" s="160">
        <f>E235</f>
        <v>5698.2146520094448</v>
      </c>
      <c r="J235" s="161">
        <f>J234*1.5</f>
        <v>0.30000000000000004</v>
      </c>
      <c r="K235" s="2"/>
      <c r="L235" s="2"/>
      <c r="M235" s="39">
        <f>(I235*J235)</f>
        <v>1709.4643956028337</v>
      </c>
      <c r="N235" s="160">
        <f>C235+E235-M235</f>
        <v>3988.7502564066108</v>
      </c>
    </row>
    <row r="236" spans="1:14" x14ac:dyDescent="0.25">
      <c r="A236" s="159">
        <v>10</v>
      </c>
      <c r="B236" s="3" t="s">
        <v>188</v>
      </c>
      <c r="C236" s="54">
        <f>N209+N210</f>
        <v>863959.91235004715</v>
      </c>
      <c r="D236" s="29">
        <v>0</v>
      </c>
      <c r="E236" s="155"/>
      <c r="F236" s="2"/>
      <c r="G236" s="2">
        <v>0</v>
      </c>
      <c r="H236" s="100">
        <f>SUM(D236+G236)/2</f>
        <v>0</v>
      </c>
      <c r="I236" s="160">
        <f>C236+H236</f>
        <v>863959.91235004715</v>
      </c>
      <c r="J236" s="161">
        <v>0.3</v>
      </c>
      <c r="K236" s="2"/>
      <c r="L236" s="2"/>
      <c r="M236" s="39">
        <f>(I236*J236)</f>
        <v>259187.97370501413</v>
      </c>
      <c r="N236" s="100">
        <f>H236+I236-M236</f>
        <v>604771.93864503305</v>
      </c>
    </row>
    <row r="237" spans="1:14" x14ac:dyDescent="0.25">
      <c r="A237" s="159">
        <v>10</v>
      </c>
      <c r="B237" s="3" t="s">
        <v>189</v>
      </c>
      <c r="C237" s="54">
        <v>0</v>
      </c>
      <c r="D237" s="29"/>
      <c r="E237" s="155">
        <v>448376.14847095712</v>
      </c>
      <c r="F237" s="2"/>
      <c r="G237" s="2"/>
      <c r="H237" s="100"/>
      <c r="I237" s="160">
        <f>E237</f>
        <v>448376.14847095712</v>
      </c>
      <c r="J237" s="161">
        <f>J236*1.5</f>
        <v>0.44999999999999996</v>
      </c>
      <c r="K237" s="2"/>
      <c r="L237" s="2"/>
      <c r="M237" s="39">
        <f>I237*J237</f>
        <v>201769.26681193069</v>
      </c>
      <c r="N237" s="100">
        <f>H237+I237-M237</f>
        <v>246606.88165902643</v>
      </c>
    </row>
    <row r="238" spans="1:14" x14ac:dyDescent="0.25">
      <c r="A238" s="164">
        <v>12</v>
      </c>
      <c r="B238" s="57" t="s">
        <v>173</v>
      </c>
      <c r="C238" s="54">
        <f>N211+N212</f>
        <v>0</v>
      </c>
      <c r="D238" s="29">
        <v>0</v>
      </c>
      <c r="E238" s="155"/>
      <c r="F238" s="2"/>
      <c r="G238" s="2"/>
      <c r="H238" s="100"/>
      <c r="I238" s="160">
        <f>C238+E238+H238</f>
        <v>0</v>
      </c>
      <c r="J238" s="161">
        <v>1</v>
      </c>
      <c r="K238" s="2"/>
      <c r="L238" s="2"/>
      <c r="M238" s="39">
        <f>I238*J238</f>
        <v>0</v>
      </c>
      <c r="N238" s="100">
        <f>H238+I238-M238</f>
        <v>0</v>
      </c>
    </row>
    <row r="239" spans="1:14" x14ac:dyDescent="0.25">
      <c r="A239" s="164">
        <v>12</v>
      </c>
      <c r="B239" s="3" t="s">
        <v>174</v>
      </c>
      <c r="C239" s="54">
        <f>N212</f>
        <v>0</v>
      </c>
      <c r="D239" s="29">
        <v>0</v>
      </c>
      <c r="E239" s="155">
        <v>0</v>
      </c>
      <c r="F239" s="2"/>
      <c r="G239" s="2"/>
      <c r="H239" s="100">
        <f>SUM(D239+G239)/2</f>
        <v>0</v>
      </c>
      <c r="I239" s="160">
        <f>E239</f>
        <v>0</v>
      </c>
      <c r="J239" s="161">
        <f>J238</f>
        <v>1</v>
      </c>
      <c r="K239" s="2"/>
      <c r="L239" s="2"/>
      <c r="M239" s="39">
        <f>(I239*J239)</f>
        <v>0</v>
      </c>
      <c r="N239" s="160">
        <f>C239+E239-M239</f>
        <v>0</v>
      </c>
    </row>
    <row r="240" spans="1:14" x14ac:dyDescent="0.25">
      <c r="A240" s="59">
        <v>14.1</v>
      </c>
      <c r="B240" s="3" t="s">
        <v>175</v>
      </c>
      <c r="C240" s="54">
        <f>N213</f>
        <v>255761.86917302766</v>
      </c>
      <c r="D240" s="29">
        <v>0</v>
      </c>
      <c r="E240" s="155"/>
      <c r="F240" s="2"/>
      <c r="G240" s="2"/>
      <c r="H240" s="100">
        <f>SUM(D240+G240)/2</f>
        <v>0</v>
      </c>
      <c r="I240" s="167">
        <f>C240+D240</f>
        <v>255761.86917302766</v>
      </c>
      <c r="J240" s="168">
        <v>7.0000000000000007E-2</v>
      </c>
      <c r="K240" s="2"/>
      <c r="L240" s="2"/>
      <c r="M240" s="39">
        <f>(I240*J240)</f>
        <v>17903.330842111936</v>
      </c>
      <c r="N240" s="100">
        <f>H240+I240-M240</f>
        <v>237858.53833091573</v>
      </c>
    </row>
    <row r="241" spans="1:14" x14ac:dyDescent="0.25">
      <c r="A241" s="59">
        <v>14.1</v>
      </c>
      <c r="B241" s="3" t="s">
        <v>176</v>
      </c>
      <c r="C241" s="54">
        <f>N214+N215</f>
        <v>435985.87442121189</v>
      </c>
      <c r="D241" s="29">
        <v>0</v>
      </c>
      <c r="E241" s="155"/>
      <c r="F241" s="2"/>
      <c r="G241" s="2"/>
      <c r="H241" s="100">
        <f>SUM(D241+G241)/2</f>
        <v>0</v>
      </c>
      <c r="I241" s="167">
        <f>C241+H241</f>
        <v>435985.87442121189</v>
      </c>
      <c r="J241" s="168">
        <v>0.05</v>
      </c>
      <c r="K241" s="2"/>
      <c r="L241" s="2"/>
      <c r="M241" s="39">
        <f>I241*J241</f>
        <v>21799.293721060596</v>
      </c>
      <c r="N241" s="100">
        <f>H241+I241-M241</f>
        <v>414186.58070015127</v>
      </c>
    </row>
    <row r="242" spans="1:14" x14ac:dyDescent="0.25">
      <c r="A242" s="59">
        <v>14.1</v>
      </c>
      <c r="B242" s="3" t="s">
        <v>185</v>
      </c>
      <c r="C242" s="54">
        <v>0</v>
      </c>
      <c r="D242" s="29">
        <v>0</v>
      </c>
      <c r="E242" s="155">
        <v>0</v>
      </c>
      <c r="F242" s="2"/>
      <c r="G242" s="2"/>
      <c r="H242" s="160">
        <f>SUM(D242+E242+G242)/2</f>
        <v>0</v>
      </c>
      <c r="I242" s="160">
        <f>E242</f>
        <v>0</v>
      </c>
      <c r="J242" s="161">
        <f>J241*1.5</f>
        <v>7.5000000000000011E-2</v>
      </c>
      <c r="K242" s="2"/>
      <c r="L242" s="2"/>
      <c r="M242" s="39">
        <f t="shared" ref="M242:M247" si="23">(I242*J242)</f>
        <v>0</v>
      </c>
      <c r="N242" s="160">
        <f>C242+E242-M242</f>
        <v>0</v>
      </c>
    </row>
    <row r="243" spans="1:14" x14ac:dyDescent="0.25">
      <c r="A243" s="164">
        <v>17</v>
      </c>
      <c r="B243" s="3" t="s">
        <v>177</v>
      </c>
      <c r="C243" s="54">
        <f>N216</f>
        <v>148965.69459208974</v>
      </c>
      <c r="D243" s="99">
        <v>0</v>
      </c>
      <c r="E243" s="29"/>
      <c r="F243" s="2"/>
      <c r="G243" s="2"/>
      <c r="H243" s="160">
        <f>SUM(E243+G243)/2</f>
        <v>0</v>
      </c>
      <c r="I243" s="160">
        <f>C243+D243</f>
        <v>148965.69459208974</v>
      </c>
      <c r="J243" s="161">
        <v>0.08</v>
      </c>
      <c r="K243" s="2"/>
      <c r="L243" s="2"/>
      <c r="M243" s="39">
        <f t="shared" si="23"/>
        <v>11917.25556736718</v>
      </c>
      <c r="N243" s="100">
        <f t="shared" ref="N243:N248" si="24">H243+I243-M243</f>
        <v>137048.43902472255</v>
      </c>
    </row>
    <row r="244" spans="1:14" x14ac:dyDescent="0.25">
      <c r="A244" s="59">
        <v>43.2</v>
      </c>
      <c r="B244" s="3" t="s">
        <v>178</v>
      </c>
      <c r="C244" s="54">
        <f>N217</f>
        <v>115.47898292362544</v>
      </c>
      <c r="D244" s="29">
        <v>0</v>
      </c>
      <c r="E244" s="155"/>
      <c r="F244" s="2"/>
      <c r="G244" s="2"/>
      <c r="H244" s="160"/>
      <c r="I244" s="167">
        <f>C244+H244</f>
        <v>115.47898292362544</v>
      </c>
      <c r="J244" s="168">
        <v>0.5</v>
      </c>
      <c r="K244" s="2"/>
      <c r="L244" s="2"/>
      <c r="M244" s="39">
        <f t="shared" si="23"/>
        <v>57.739491461812719</v>
      </c>
      <c r="N244" s="100">
        <f t="shared" si="24"/>
        <v>57.739491461812719</v>
      </c>
    </row>
    <row r="245" spans="1:14" x14ac:dyDescent="0.25">
      <c r="A245" s="159">
        <v>45</v>
      </c>
      <c r="B245" s="3" t="s">
        <v>179</v>
      </c>
      <c r="C245" s="54">
        <f>N218</f>
        <v>2.7732997629552405</v>
      </c>
      <c r="D245" s="29">
        <v>0</v>
      </c>
      <c r="E245" s="155"/>
      <c r="F245" s="2"/>
      <c r="G245" s="2"/>
      <c r="H245" s="160">
        <v>0</v>
      </c>
      <c r="I245" s="160">
        <f>C245+H245</f>
        <v>2.7732997629552405</v>
      </c>
      <c r="J245" s="161">
        <v>0.45</v>
      </c>
      <c r="K245" s="2"/>
      <c r="L245" s="170"/>
      <c r="M245" s="39">
        <f t="shared" si="23"/>
        <v>1.2479848933298583</v>
      </c>
      <c r="N245" s="100">
        <f t="shared" si="24"/>
        <v>1.5253148696253822</v>
      </c>
    </row>
    <row r="246" spans="1:14" x14ac:dyDescent="0.25">
      <c r="A246" s="59">
        <v>46</v>
      </c>
      <c r="B246" s="3" t="s">
        <v>134</v>
      </c>
      <c r="C246" s="54">
        <f>SUM(N219:N220)</f>
        <v>2065058.2064200002</v>
      </c>
      <c r="D246" s="29">
        <v>0</v>
      </c>
      <c r="E246" s="155"/>
      <c r="F246" s="2"/>
      <c r="G246" s="2"/>
      <c r="H246" s="160"/>
      <c r="I246" s="160">
        <f>C246+H246</f>
        <v>2065058.2064200002</v>
      </c>
      <c r="J246" s="168">
        <v>0.3</v>
      </c>
      <c r="K246" s="2"/>
      <c r="L246" s="170"/>
      <c r="M246" s="39">
        <f t="shared" si="23"/>
        <v>619517.46192600008</v>
      </c>
      <c r="N246" s="100">
        <f t="shared" si="24"/>
        <v>1445540.744494</v>
      </c>
    </row>
    <row r="247" spans="1:14" x14ac:dyDescent="0.25">
      <c r="A247" s="59">
        <v>46</v>
      </c>
      <c r="B247" s="3" t="s">
        <v>135</v>
      </c>
      <c r="C247" s="54">
        <v>0</v>
      </c>
      <c r="D247" s="29">
        <v>0</v>
      </c>
      <c r="E247" s="155">
        <v>0</v>
      </c>
      <c r="F247" s="2"/>
      <c r="G247" s="2"/>
      <c r="H247" s="160"/>
      <c r="I247" s="160">
        <f>E247</f>
        <v>0</v>
      </c>
      <c r="J247" s="161">
        <f>J246*1.5</f>
        <v>0.44999999999999996</v>
      </c>
      <c r="K247" s="2"/>
      <c r="L247" s="170"/>
      <c r="M247" s="39">
        <f t="shared" si="23"/>
        <v>0</v>
      </c>
      <c r="N247" s="100">
        <f t="shared" si="24"/>
        <v>0</v>
      </c>
    </row>
    <row r="248" spans="1:14" x14ac:dyDescent="0.25">
      <c r="A248" s="164">
        <v>47</v>
      </c>
      <c r="B248" s="56" t="s">
        <v>180</v>
      </c>
      <c r="C248" s="54">
        <f>N221+N222</f>
        <v>71216273.402428046</v>
      </c>
      <c r="D248" s="29">
        <v>0</v>
      </c>
      <c r="E248" s="155"/>
      <c r="F248" s="2"/>
      <c r="G248" s="2"/>
      <c r="H248" s="160">
        <f>SUM(D248+G248)/2</f>
        <v>0</v>
      </c>
      <c r="I248" s="160">
        <f>C248+H248+F248</f>
        <v>71216273.402428046</v>
      </c>
      <c r="J248" s="161">
        <v>0.08</v>
      </c>
      <c r="K248" s="2"/>
      <c r="L248" s="2"/>
      <c r="M248" s="39">
        <f>I248*J248</f>
        <v>5697301.8721942436</v>
      </c>
      <c r="N248" s="100">
        <f t="shared" si="24"/>
        <v>65518971.5302338</v>
      </c>
    </row>
    <row r="249" spans="1:14" x14ac:dyDescent="0.25">
      <c r="A249" s="164">
        <v>47</v>
      </c>
      <c r="B249" s="56" t="s">
        <v>181</v>
      </c>
      <c r="C249" s="54">
        <v>0</v>
      </c>
      <c r="D249" s="171">
        <v>0</v>
      </c>
      <c r="E249" s="155">
        <v>8669070.8161154222</v>
      </c>
      <c r="F249" s="2"/>
      <c r="G249" s="2"/>
      <c r="H249" s="160">
        <f>SUM(D249+E249+G249)/2</f>
        <v>4334535.4080577111</v>
      </c>
      <c r="I249" s="160">
        <f>E249</f>
        <v>8669070.8161154222</v>
      </c>
      <c r="J249" s="161">
        <f>J248*1.5</f>
        <v>0.12</v>
      </c>
      <c r="K249" s="2"/>
      <c r="L249" s="2"/>
      <c r="M249" s="39">
        <f>(I249*J249)</f>
        <v>1040288.4979338506</v>
      </c>
      <c r="N249" s="160">
        <f>C249+E249-M249</f>
        <v>7628782.3181815716</v>
      </c>
    </row>
    <row r="250" spans="1:14" x14ac:dyDescent="0.25">
      <c r="A250" s="159">
        <v>50</v>
      </c>
      <c r="B250" s="3" t="s">
        <v>179</v>
      </c>
      <c r="C250" s="54">
        <f>N223+N224</f>
        <v>775864.91012836294</v>
      </c>
      <c r="D250" s="99">
        <v>0</v>
      </c>
      <c r="E250" s="29"/>
      <c r="F250" s="2">
        <v>0</v>
      </c>
      <c r="G250" s="99">
        <v>0</v>
      </c>
      <c r="H250" s="160">
        <v>0</v>
      </c>
      <c r="I250" s="155">
        <f>C250+H250+F250</f>
        <v>775864.91012836294</v>
      </c>
      <c r="J250" s="168">
        <v>0.55000000000000004</v>
      </c>
      <c r="K250" s="2"/>
      <c r="L250" s="2"/>
      <c r="M250" s="39">
        <f>I250*J250</f>
        <v>426725.70057059964</v>
      </c>
      <c r="N250" s="100">
        <f>H250+I250-M250</f>
        <v>349139.2095577633</v>
      </c>
    </row>
    <row r="251" spans="1:14" x14ac:dyDescent="0.25">
      <c r="A251" s="172">
        <v>50</v>
      </c>
      <c r="B251" s="3" t="s">
        <v>182</v>
      </c>
      <c r="C251" s="54">
        <v>0</v>
      </c>
      <c r="D251" s="29">
        <v>0</v>
      </c>
      <c r="E251" s="155">
        <v>0</v>
      </c>
      <c r="F251" s="2"/>
      <c r="G251" s="2">
        <v>0</v>
      </c>
      <c r="H251" s="160">
        <f>SUM(D251+E251+G251)/2</f>
        <v>0</v>
      </c>
      <c r="I251" s="160">
        <f>E251</f>
        <v>0</v>
      </c>
      <c r="J251" s="161">
        <f>J250*1.5</f>
        <v>0.82500000000000007</v>
      </c>
      <c r="K251" s="2"/>
      <c r="L251" s="2"/>
      <c r="M251" s="39">
        <f>(I251*J251)</f>
        <v>0</v>
      </c>
      <c r="N251" s="100">
        <f>C251+E251-M251</f>
        <v>0</v>
      </c>
    </row>
    <row r="252" spans="1:14" x14ac:dyDescent="0.25">
      <c r="A252" s="173">
        <v>95</v>
      </c>
      <c r="B252" s="60" t="s">
        <v>10</v>
      </c>
      <c r="C252" s="54">
        <f>N225</f>
        <v>0</v>
      </c>
      <c r="D252" s="29">
        <v>0</v>
      </c>
      <c r="E252" s="29"/>
      <c r="F252" s="2">
        <v>0</v>
      </c>
      <c r="G252" s="2"/>
      <c r="H252" s="167">
        <f>SUM(E252+G252)/2</f>
        <v>0</v>
      </c>
      <c r="I252" s="155">
        <f>C252+E252+F252</f>
        <v>0</v>
      </c>
      <c r="J252" s="168">
        <v>0</v>
      </c>
      <c r="K252" s="2"/>
      <c r="L252" s="2"/>
      <c r="M252" s="39">
        <f>(I252*J252)</f>
        <v>0</v>
      </c>
      <c r="N252" s="100">
        <f>I252-M252</f>
        <v>0</v>
      </c>
    </row>
    <row r="253" spans="1:14" ht="15.75" thickBot="1" x14ac:dyDescent="0.3">
      <c r="A253" s="61" t="s">
        <v>11</v>
      </c>
      <c r="B253" s="62"/>
      <c r="C253" s="63">
        <f t="shared" ref="C253:I253" si="25">SUM(C231:C252)</f>
        <v>105680706.73216991</v>
      </c>
      <c r="D253" s="64">
        <f t="shared" si="25"/>
        <v>0</v>
      </c>
      <c r="E253" s="64">
        <f t="shared" si="25"/>
        <v>9146443.8649122305</v>
      </c>
      <c r="F253" s="23">
        <f t="shared" si="25"/>
        <v>0</v>
      </c>
      <c r="G253" s="27">
        <f t="shared" si="25"/>
        <v>0</v>
      </c>
      <c r="H253" s="63">
        <f t="shared" si="25"/>
        <v>4349033.8582206368</v>
      </c>
      <c r="I253" s="63">
        <f t="shared" si="25"/>
        <v>114827150.59708214</v>
      </c>
      <c r="J253" s="63" t="s">
        <v>0</v>
      </c>
      <c r="K253" s="63">
        <f>SUM(K231:K252)</f>
        <v>0</v>
      </c>
      <c r="L253" s="63">
        <f>SUM(L231:L252)</f>
        <v>0</v>
      </c>
      <c r="M253" s="63">
        <f>SUM(M231:M252)</f>
        <v>9708491.0824850257</v>
      </c>
      <c r="N253" s="63">
        <f>SUM(N231:N252)</f>
        <v>105118659.5145971</v>
      </c>
    </row>
    <row r="254" spans="1:14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04F-298B-4226-8470-5A4F94B79748}">
  <dimension ref="A1:N248"/>
  <sheetViews>
    <sheetView zoomScale="85" zoomScaleNormal="85" workbookViewId="0">
      <selection activeCell="I21" sqref="I21"/>
    </sheetView>
  </sheetViews>
  <sheetFormatPr defaultRowHeight="15" x14ac:dyDescent="0.25"/>
  <cols>
    <col min="1" max="1" width="9" customWidth="1"/>
    <col min="2" max="2" width="59.42578125" bestFit="1" customWidth="1"/>
    <col min="3" max="3" width="15.7109375" customWidth="1"/>
    <col min="4" max="4" width="13.85546875" style="99" bestFit="1" customWidth="1"/>
    <col min="5" max="5" width="16" style="99" bestFit="1" customWidth="1"/>
    <col min="6" max="6" width="12.140625" style="99" bestFit="1" customWidth="1"/>
    <col min="7" max="7" width="13" style="99" bestFit="1" customWidth="1"/>
    <col min="8" max="8" width="14.42578125" style="99" bestFit="1" customWidth="1"/>
    <col min="9" max="9" width="15.28515625" style="99" bestFit="1" customWidth="1"/>
    <col min="10" max="10" width="10" style="99" customWidth="1"/>
    <col min="11" max="11" width="12.85546875" style="99" customWidth="1"/>
    <col min="12" max="12" width="13" style="99" bestFit="1" customWidth="1"/>
    <col min="13" max="13" width="14.42578125" style="149" bestFit="1" customWidth="1"/>
    <col min="14" max="14" width="14.7109375" bestFit="1" customWidth="1"/>
  </cols>
  <sheetData>
    <row r="1" spans="1:14" x14ac:dyDescent="0.25">
      <c r="A1">
        <v>2018</v>
      </c>
      <c r="B1" t="s">
        <v>65</v>
      </c>
    </row>
    <row r="2" spans="1:14" ht="30" x14ac:dyDescent="0.25">
      <c r="A2" s="150" t="s">
        <v>2</v>
      </c>
      <c r="B2" s="53" t="s">
        <v>3</v>
      </c>
      <c r="C2" s="53" t="s">
        <v>59</v>
      </c>
      <c r="D2" s="151" t="s">
        <v>60</v>
      </c>
      <c r="E2" s="151" t="s">
        <v>197</v>
      </c>
      <c r="F2" s="151" t="s">
        <v>4</v>
      </c>
      <c r="G2" s="151" t="s">
        <v>12</v>
      </c>
      <c r="H2" s="151" t="s">
        <v>5</v>
      </c>
      <c r="I2" s="151" t="s">
        <v>6</v>
      </c>
      <c r="J2" s="151" t="s">
        <v>57</v>
      </c>
      <c r="K2" s="151" t="s">
        <v>58</v>
      </c>
      <c r="L2" s="151" t="s">
        <v>7</v>
      </c>
      <c r="M2" s="152" t="s">
        <v>61</v>
      </c>
      <c r="N2" s="153" t="s">
        <v>8</v>
      </c>
    </row>
    <row r="3" spans="1:14" x14ac:dyDescent="0.25">
      <c r="A3" s="150"/>
      <c r="B3" s="53"/>
      <c r="C3" s="154"/>
      <c r="D3" s="28"/>
      <c r="E3" s="155"/>
      <c r="F3" s="1"/>
      <c r="G3" s="1"/>
      <c r="H3" s="1"/>
      <c r="I3" s="156"/>
      <c r="J3" s="157"/>
      <c r="K3" s="1"/>
      <c r="L3" s="1"/>
      <c r="M3" s="73"/>
      <c r="N3" s="158"/>
    </row>
    <row r="4" spans="1:14" x14ac:dyDescent="0.25">
      <c r="A4" s="159">
        <v>1</v>
      </c>
      <c r="B4" s="3" t="s">
        <v>168</v>
      </c>
      <c r="C4" s="54">
        <v>33378547</v>
      </c>
      <c r="D4" s="29">
        <f>59040+143224</f>
        <v>202264</v>
      </c>
      <c r="E4" s="155"/>
      <c r="F4" s="2"/>
      <c r="G4" s="2"/>
      <c r="H4" s="100">
        <f>SUM(D4+G4)/2</f>
        <v>101132</v>
      </c>
      <c r="I4" s="160">
        <f>C4+H4</f>
        <v>33479679</v>
      </c>
      <c r="J4" s="161">
        <v>0.04</v>
      </c>
      <c r="K4" s="2"/>
      <c r="L4" s="2"/>
      <c r="M4" s="39">
        <f t="shared" ref="M4:M22" si="0">I4*J4</f>
        <v>1339187.1599999999</v>
      </c>
      <c r="N4" s="100">
        <f t="shared" ref="N4:N22" si="1">H4+I4-M4</f>
        <v>32241623.84</v>
      </c>
    </row>
    <row r="5" spans="1:14" x14ac:dyDescent="0.25">
      <c r="A5" s="159">
        <v>1</v>
      </c>
      <c r="B5" s="3" t="s">
        <v>169</v>
      </c>
      <c r="C5" s="54"/>
      <c r="D5" s="29"/>
      <c r="E5" s="155">
        <v>0</v>
      </c>
      <c r="F5" s="2"/>
      <c r="G5" s="2"/>
      <c r="H5" s="100">
        <f>SUM(D5+G5)/2</f>
        <v>0</v>
      </c>
      <c r="I5" s="160">
        <f>E5</f>
        <v>0</v>
      </c>
      <c r="J5" s="161">
        <f>J4*1.5</f>
        <v>0.06</v>
      </c>
      <c r="K5" s="2"/>
      <c r="L5" s="2"/>
      <c r="M5" s="39">
        <f t="shared" si="0"/>
        <v>0</v>
      </c>
      <c r="N5" s="100">
        <f>H5+I5-M5</f>
        <v>0</v>
      </c>
    </row>
    <row r="6" spans="1:14" x14ac:dyDescent="0.25">
      <c r="A6" s="162">
        <v>2</v>
      </c>
      <c r="B6" s="3" t="s">
        <v>170</v>
      </c>
      <c r="C6" s="54">
        <v>4949174</v>
      </c>
      <c r="D6" s="29">
        <v>0</v>
      </c>
      <c r="E6" s="155">
        <v>0</v>
      </c>
      <c r="F6" s="2" t="s">
        <v>0</v>
      </c>
      <c r="G6" s="2"/>
      <c r="H6" s="100">
        <f>SUM(D6+G6)/2</f>
        <v>0</v>
      </c>
      <c r="I6" s="160">
        <f>C6+H6</f>
        <v>4949174</v>
      </c>
      <c r="J6" s="161">
        <v>0.06</v>
      </c>
      <c r="K6" s="2"/>
      <c r="L6" s="2"/>
      <c r="M6" s="39">
        <f t="shared" si="0"/>
        <v>296950.44</v>
      </c>
      <c r="N6" s="100">
        <f t="shared" si="1"/>
        <v>4652223.5599999996</v>
      </c>
    </row>
    <row r="7" spans="1:14" x14ac:dyDescent="0.25">
      <c r="A7" s="164">
        <v>8</v>
      </c>
      <c r="B7" s="56" t="s">
        <v>171</v>
      </c>
      <c r="C7" s="54">
        <v>2111506</v>
      </c>
      <c r="D7" s="29">
        <f>341775+65529</f>
        <v>407304</v>
      </c>
      <c r="E7" s="155">
        <v>0</v>
      </c>
      <c r="F7" s="2"/>
      <c r="G7" s="2"/>
      <c r="H7" s="100">
        <f>SUM(D7+G7)/2</f>
        <v>203652</v>
      </c>
      <c r="I7" s="160">
        <f>C7+H7</f>
        <v>2315158</v>
      </c>
      <c r="J7" s="161">
        <v>0.2</v>
      </c>
      <c r="K7" s="2"/>
      <c r="L7" s="2"/>
      <c r="M7" s="39">
        <f t="shared" si="0"/>
        <v>463031.60000000003</v>
      </c>
      <c r="N7" s="100">
        <f t="shared" si="1"/>
        <v>2055778.4</v>
      </c>
    </row>
    <row r="8" spans="1:14" x14ac:dyDescent="0.25">
      <c r="A8" s="164">
        <v>8</v>
      </c>
      <c r="B8" s="56" t="s">
        <v>62</v>
      </c>
      <c r="C8" s="54"/>
      <c r="D8" s="29"/>
      <c r="E8" s="155">
        <v>0</v>
      </c>
      <c r="F8" s="2"/>
      <c r="G8" s="2"/>
      <c r="H8" s="100">
        <f>SUM(D8+G8)/2</f>
        <v>0</v>
      </c>
      <c r="I8" s="160">
        <f>E8</f>
        <v>0</v>
      </c>
      <c r="J8" s="161">
        <f>J7*1.5</f>
        <v>0.30000000000000004</v>
      </c>
      <c r="K8" s="2"/>
      <c r="L8" s="2"/>
      <c r="M8" s="39">
        <f t="shared" si="0"/>
        <v>0</v>
      </c>
      <c r="N8" s="100">
        <f t="shared" si="1"/>
        <v>0</v>
      </c>
    </row>
    <row r="9" spans="1:14" x14ac:dyDescent="0.25">
      <c r="A9" s="159">
        <v>10</v>
      </c>
      <c r="B9" s="3" t="s">
        <v>172</v>
      </c>
      <c r="C9" s="54">
        <v>3734</v>
      </c>
      <c r="D9" s="29">
        <v>0</v>
      </c>
      <c r="E9" s="155">
        <v>0</v>
      </c>
      <c r="F9" s="2"/>
      <c r="G9" s="2">
        <v>0</v>
      </c>
      <c r="H9" s="100">
        <f t="shared" ref="H9:H21" si="2">SUM(D9+G9)/2</f>
        <v>0</v>
      </c>
      <c r="I9" s="160">
        <f>C9+H9</f>
        <v>3734</v>
      </c>
      <c r="J9" s="161">
        <v>0.3</v>
      </c>
      <c r="K9" s="2"/>
      <c r="L9" s="2"/>
      <c r="M9" s="39">
        <f t="shared" si="0"/>
        <v>1120.2</v>
      </c>
      <c r="N9" s="100">
        <f t="shared" si="1"/>
        <v>2613.8000000000002</v>
      </c>
    </row>
    <row r="10" spans="1:14" x14ac:dyDescent="0.25">
      <c r="A10" s="164">
        <v>12</v>
      </c>
      <c r="B10" s="57" t="s">
        <v>173</v>
      </c>
      <c r="C10" s="54">
        <v>73399</v>
      </c>
      <c r="D10" s="29">
        <f>109408+15188</f>
        <v>124596</v>
      </c>
      <c r="E10" s="155">
        <v>0</v>
      </c>
      <c r="F10" s="2">
        <v>137048</v>
      </c>
      <c r="G10" s="2"/>
      <c r="H10" s="100">
        <f t="shared" si="2"/>
        <v>62298</v>
      </c>
      <c r="I10" s="160">
        <f>C10+H10+F10</f>
        <v>272745</v>
      </c>
      <c r="J10" s="161">
        <v>1</v>
      </c>
      <c r="K10" s="2"/>
      <c r="L10" s="2"/>
      <c r="M10" s="74">
        <f t="shared" si="0"/>
        <v>272745</v>
      </c>
      <c r="N10" s="100">
        <f t="shared" si="1"/>
        <v>62298</v>
      </c>
    </row>
    <row r="11" spans="1:14" x14ac:dyDescent="0.25">
      <c r="A11" s="164">
        <v>12</v>
      </c>
      <c r="B11" s="3" t="s">
        <v>174</v>
      </c>
      <c r="C11" s="54"/>
      <c r="D11" s="29"/>
      <c r="E11" s="155">
        <v>0</v>
      </c>
      <c r="F11" s="2"/>
      <c r="G11" s="2"/>
      <c r="H11" s="100">
        <f t="shared" si="2"/>
        <v>0</v>
      </c>
      <c r="I11" s="160">
        <f>E11</f>
        <v>0</v>
      </c>
      <c r="J11" s="161">
        <f>J10</f>
        <v>1</v>
      </c>
      <c r="K11" s="2"/>
      <c r="L11" s="2"/>
      <c r="M11" s="74">
        <f t="shared" si="0"/>
        <v>0</v>
      </c>
      <c r="N11" s="100">
        <f t="shared" si="1"/>
        <v>0</v>
      </c>
    </row>
    <row r="12" spans="1:14" x14ac:dyDescent="0.25">
      <c r="A12" s="59">
        <v>14.1</v>
      </c>
      <c r="B12" s="166" t="s">
        <v>175</v>
      </c>
      <c r="C12" s="54">
        <v>456612</v>
      </c>
      <c r="D12" s="29">
        <v>0</v>
      </c>
      <c r="E12" s="155"/>
      <c r="F12" s="5"/>
      <c r="G12" s="5"/>
      <c r="H12" s="100">
        <f t="shared" si="2"/>
        <v>0</v>
      </c>
      <c r="I12" s="160">
        <f>C12+H12</f>
        <v>456612</v>
      </c>
      <c r="J12" s="168">
        <v>7.0000000000000007E-2</v>
      </c>
      <c r="K12" s="5"/>
      <c r="L12" s="5"/>
      <c r="M12" s="76">
        <f t="shared" si="0"/>
        <v>31962.840000000004</v>
      </c>
      <c r="N12" s="100">
        <f t="shared" si="1"/>
        <v>424649.16</v>
      </c>
    </row>
    <row r="13" spans="1:14" x14ac:dyDescent="0.25">
      <c r="A13" s="59">
        <v>14.1</v>
      </c>
      <c r="B13" s="166" t="s">
        <v>176</v>
      </c>
      <c r="C13" s="54"/>
      <c r="D13" s="29">
        <f>302221+120987</f>
        <v>423208</v>
      </c>
      <c r="E13" s="155"/>
      <c r="F13" s="5"/>
      <c r="G13" s="5"/>
      <c r="H13" s="100">
        <f t="shared" si="2"/>
        <v>211604</v>
      </c>
      <c r="I13" s="167">
        <f>C13+H13</f>
        <v>211604</v>
      </c>
      <c r="J13" s="168">
        <v>0.05</v>
      </c>
      <c r="K13" s="5"/>
      <c r="L13" s="5"/>
      <c r="M13" s="76">
        <f t="shared" si="0"/>
        <v>10580.2</v>
      </c>
      <c r="N13" s="100">
        <f t="shared" si="1"/>
        <v>412627.8</v>
      </c>
    </row>
    <row r="14" spans="1:14" x14ac:dyDescent="0.25">
      <c r="A14" s="59">
        <v>14.1</v>
      </c>
      <c r="B14" s="169" t="s">
        <v>176</v>
      </c>
      <c r="C14" s="54"/>
      <c r="D14" s="29">
        <v>0</v>
      </c>
      <c r="E14" s="155">
        <v>0</v>
      </c>
      <c r="F14" s="5"/>
      <c r="G14" s="5"/>
      <c r="H14" s="100">
        <f t="shared" si="2"/>
        <v>0</v>
      </c>
      <c r="I14" s="160">
        <f>E14</f>
        <v>0</v>
      </c>
      <c r="J14" s="161">
        <f>J13*1.5</f>
        <v>7.5000000000000011E-2</v>
      </c>
      <c r="K14" s="5"/>
      <c r="L14" s="5"/>
      <c r="M14" s="74">
        <f t="shared" si="0"/>
        <v>0</v>
      </c>
      <c r="N14" s="100">
        <f t="shared" si="1"/>
        <v>0</v>
      </c>
    </row>
    <row r="15" spans="1:14" x14ac:dyDescent="0.25">
      <c r="A15" s="164">
        <v>17</v>
      </c>
      <c r="B15" s="57" t="s">
        <v>177</v>
      </c>
      <c r="C15" s="54">
        <v>289883</v>
      </c>
      <c r="D15" s="29">
        <v>0</v>
      </c>
      <c r="E15" s="155"/>
      <c r="F15" s="2"/>
      <c r="G15" s="2"/>
      <c r="H15" s="100">
        <f t="shared" si="2"/>
        <v>0</v>
      </c>
      <c r="I15" s="167">
        <f>C15+H15</f>
        <v>289883</v>
      </c>
      <c r="J15" s="161">
        <v>0.08</v>
      </c>
      <c r="K15" s="2"/>
      <c r="L15" s="170"/>
      <c r="M15" s="76">
        <f t="shared" si="0"/>
        <v>23190.639999999999</v>
      </c>
      <c r="N15" s="100">
        <f t="shared" si="1"/>
        <v>266692.36</v>
      </c>
    </row>
    <row r="16" spans="1:14" x14ac:dyDescent="0.25">
      <c r="A16" s="59">
        <v>43.2</v>
      </c>
      <c r="B16" s="166" t="s">
        <v>178</v>
      </c>
      <c r="C16" s="54">
        <v>27050</v>
      </c>
      <c r="D16" s="29">
        <v>0</v>
      </c>
      <c r="E16" s="155"/>
      <c r="F16" s="5"/>
      <c r="G16" s="5"/>
      <c r="H16" s="100">
        <f t="shared" si="2"/>
        <v>0</v>
      </c>
      <c r="I16" s="167">
        <f>C16+H16</f>
        <v>27050</v>
      </c>
      <c r="J16" s="168">
        <v>0.5</v>
      </c>
      <c r="K16" s="5"/>
      <c r="L16" s="5"/>
      <c r="M16" s="74">
        <f t="shared" si="0"/>
        <v>13525</v>
      </c>
      <c r="N16" s="100">
        <f t="shared" si="1"/>
        <v>13525</v>
      </c>
    </row>
    <row r="17" spans="1:14" x14ac:dyDescent="0.25">
      <c r="A17" s="159">
        <v>45</v>
      </c>
      <c r="B17" s="3" t="s">
        <v>179</v>
      </c>
      <c r="C17" s="54">
        <v>310</v>
      </c>
      <c r="D17" s="171">
        <v>0</v>
      </c>
      <c r="E17" s="155"/>
      <c r="F17" s="2"/>
      <c r="G17" s="2"/>
      <c r="H17" s="100">
        <f t="shared" si="2"/>
        <v>0</v>
      </c>
      <c r="I17" s="160">
        <f>C17+H17</f>
        <v>310</v>
      </c>
      <c r="J17" s="161">
        <v>0.45</v>
      </c>
      <c r="K17" s="2"/>
      <c r="L17" s="2"/>
      <c r="M17" s="76">
        <f t="shared" si="0"/>
        <v>139.5</v>
      </c>
      <c r="N17" s="100">
        <f>H17+I17-M17</f>
        <v>170.5</v>
      </c>
    </row>
    <row r="18" spans="1:14" x14ac:dyDescent="0.25">
      <c r="A18" s="164">
        <v>47</v>
      </c>
      <c r="B18" s="56" t="s">
        <v>180</v>
      </c>
      <c r="C18" s="54">
        <v>39491718</v>
      </c>
      <c r="D18" s="29">
        <f>6168372+1017915</f>
        <v>7186287</v>
      </c>
      <c r="E18" s="155">
        <v>0</v>
      </c>
      <c r="F18" s="2">
        <v>-137048</v>
      </c>
      <c r="G18" s="2">
        <v>0</v>
      </c>
      <c r="H18" s="100">
        <f t="shared" si="2"/>
        <v>3593143.5</v>
      </c>
      <c r="I18" s="160">
        <f>C18+H18+F18</f>
        <v>42947813.5</v>
      </c>
      <c r="J18" s="161">
        <v>0.08</v>
      </c>
      <c r="K18" s="2"/>
      <c r="L18" s="2"/>
      <c r="M18" s="76">
        <f t="shared" si="0"/>
        <v>3435825.08</v>
      </c>
      <c r="N18" s="100">
        <f t="shared" si="1"/>
        <v>43105131.920000002</v>
      </c>
    </row>
    <row r="19" spans="1:14" x14ac:dyDescent="0.25">
      <c r="A19" s="164">
        <v>47</v>
      </c>
      <c r="B19" s="56" t="s">
        <v>181</v>
      </c>
      <c r="C19" s="54"/>
      <c r="D19" s="29"/>
      <c r="E19" s="155">
        <v>0</v>
      </c>
      <c r="F19" s="2">
        <v>0</v>
      </c>
      <c r="G19" s="2"/>
      <c r="H19" s="100">
        <f t="shared" si="2"/>
        <v>0</v>
      </c>
      <c r="I19" s="160">
        <f>E19</f>
        <v>0</v>
      </c>
      <c r="J19" s="161">
        <f>J18*1.5</f>
        <v>0.12</v>
      </c>
      <c r="K19" s="2"/>
      <c r="L19" s="2"/>
      <c r="M19" s="74">
        <f t="shared" si="0"/>
        <v>0</v>
      </c>
      <c r="N19" s="100">
        <f t="shared" si="1"/>
        <v>0</v>
      </c>
    </row>
    <row r="20" spans="1:14" x14ac:dyDescent="0.25">
      <c r="A20" s="159">
        <v>50</v>
      </c>
      <c r="B20" s="3" t="s">
        <v>179</v>
      </c>
      <c r="C20" s="54">
        <v>86109</v>
      </c>
      <c r="D20" s="29">
        <f>16478+40552</f>
        <v>57030</v>
      </c>
      <c r="E20" s="155">
        <v>0</v>
      </c>
      <c r="F20" s="2">
        <v>0</v>
      </c>
      <c r="G20" s="2"/>
      <c r="H20" s="100">
        <f t="shared" si="2"/>
        <v>28515</v>
      </c>
      <c r="I20" s="167">
        <f>C20+H20</f>
        <v>114624</v>
      </c>
      <c r="J20" s="168">
        <v>0.55000000000000004</v>
      </c>
      <c r="K20" s="2"/>
      <c r="L20" s="2"/>
      <c r="M20" s="76">
        <f t="shared" si="0"/>
        <v>63043.200000000004</v>
      </c>
      <c r="N20" s="100">
        <f t="shared" si="1"/>
        <v>80095.799999999988</v>
      </c>
    </row>
    <row r="21" spans="1:14" x14ac:dyDescent="0.25">
      <c r="A21" s="172">
        <v>50</v>
      </c>
      <c r="B21" s="3" t="s">
        <v>182</v>
      </c>
      <c r="C21" s="54"/>
      <c r="D21" s="29"/>
      <c r="E21" s="155">
        <v>0</v>
      </c>
      <c r="F21" s="5"/>
      <c r="G21" s="5"/>
      <c r="H21" s="100">
        <f t="shared" si="2"/>
        <v>0</v>
      </c>
      <c r="I21" s="160">
        <f>E21</f>
        <v>0</v>
      </c>
      <c r="J21" s="161">
        <f>J20*1.5</f>
        <v>0.82500000000000007</v>
      </c>
      <c r="K21" s="5"/>
      <c r="L21" s="5"/>
      <c r="M21" s="74">
        <f t="shared" si="0"/>
        <v>0</v>
      </c>
      <c r="N21" s="100">
        <f t="shared" si="1"/>
        <v>0</v>
      </c>
    </row>
    <row r="22" spans="1:14" ht="15.75" x14ac:dyDescent="0.25">
      <c r="A22" s="173">
        <v>95</v>
      </c>
      <c r="B22" s="60" t="s">
        <v>10</v>
      </c>
      <c r="C22" s="54">
        <v>242557</v>
      </c>
      <c r="D22" s="29">
        <v>710660</v>
      </c>
      <c r="E22" s="155"/>
      <c r="F22" s="2">
        <v>0</v>
      </c>
      <c r="G22" s="174"/>
      <c r="H22" s="155">
        <v>0</v>
      </c>
      <c r="I22" s="155">
        <f>C22+D22+F22</f>
        <v>953217</v>
      </c>
      <c r="J22" s="168">
        <v>0</v>
      </c>
      <c r="K22" s="2"/>
      <c r="L22" s="2"/>
      <c r="M22" s="76">
        <f t="shared" si="0"/>
        <v>0</v>
      </c>
      <c r="N22" s="132">
        <f t="shared" si="1"/>
        <v>953217</v>
      </c>
    </row>
    <row r="23" spans="1:14" ht="15.75" thickBot="1" x14ac:dyDescent="0.3">
      <c r="A23" s="61" t="s">
        <v>11</v>
      </c>
      <c r="B23" s="62"/>
      <c r="C23" s="63">
        <f t="shared" ref="C23:I23" si="3">SUM(C4:C22)</f>
        <v>81110599</v>
      </c>
      <c r="D23" s="64">
        <f t="shared" si="3"/>
        <v>9111349</v>
      </c>
      <c r="E23" s="64">
        <f t="shared" si="3"/>
        <v>0</v>
      </c>
      <c r="F23" s="23">
        <f t="shared" si="3"/>
        <v>0</v>
      </c>
      <c r="G23" s="27">
        <f t="shared" si="3"/>
        <v>0</v>
      </c>
      <c r="H23" s="63">
        <f t="shared" si="3"/>
        <v>4200344.5</v>
      </c>
      <c r="I23" s="63">
        <f t="shared" si="3"/>
        <v>86021603.5</v>
      </c>
      <c r="J23" s="63" t="s">
        <v>0</v>
      </c>
      <c r="K23" s="63">
        <f>SUM(K4:K22)</f>
        <v>0</v>
      </c>
      <c r="L23" s="63">
        <f>SUM(L4:L22)</f>
        <v>0</v>
      </c>
      <c r="M23" s="63">
        <f>SUM(M4:M22)</f>
        <v>5951300.8600000003</v>
      </c>
      <c r="N23" s="63">
        <f>SUM(N4:N22)</f>
        <v>84270647.139999986</v>
      </c>
    </row>
    <row r="24" spans="1:14" ht="15.75" thickTop="1" x14ac:dyDescent="0.25"/>
    <row r="25" spans="1:14" x14ac:dyDescent="0.25">
      <c r="A25" t="s">
        <v>97</v>
      </c>
      <c r="B25" t="s">
        <v>65</v>
      </c>
      <c r="D25" s="175"/>
      <c r="E25" s="175"/>
    </row>
    <row r="26" spans="1:14" ht="45" x14ac:dyDescent="0.25">
      <c r="A26" s="150" t="s">
        <v>2</v>
      </c>
      <c r="B26" s="53" t="s">
        <v>3</v>
      </c>
      <c r="C26" s="53" t="s">
        <v>63</v>
      </c>
      <c r="D26" s="151" t="s">
        <v>183</v>
      </c>
      <c r="E26" s="151" t="s">
        <v>184</v>
      </c>
      <c r="F26" s="151" t="s">
        <v>4</v>
      </c>
      <c r="G26" s="151" t="s">
        <v>12</v>
      </c>
      <c r="H26" s="151" t="s">
        <v>5</v>
      </c>
      <c r="I26" s="151" t="s">
        <v>6</v>
      </c>
      <c r="J26" s="151" t="s">
        <v>57</v>
      </c>
      <c r="K26" s="151" t="s">
        <v>58</v>
      </c>
      <c r="L26" s="151" t="s">
        <v>7</v>
      </c>
      <c r="M26" s="152" t="s">
        <v>64</v>
      </c>
      <c r="N26" s="153" t="s">
        <v>8</v>
      </c>
    </row>
    <row r="27" spans="1:14" x14ac:dyDescent="0.25">
      <c r="A27" s="150"/>
      <c r="B27" s="53"/>
      <c r="C27" s="154"/>
      <c r="D27" s="28"/>
      <c r="E27" s="155"/>
      <c r="F27" s="1"/>
      <c r="G27" s="1"/>
      <c r="H27" s="1"/>
      <c r="I27" s="156"/>
      <c r="J27" s="157"/>
      <c r="K27" s="1"/>
      <c r="L27" s="1"/>
      <c r="M27" s="73"/>
      <c r="N27" s="158"/>
    </row>
    <row r="28" spans="1:14" x14ac:dyDescent="0.25">
      <c r="A28" s="159">
        <v>1</v>
      </c>
      <c r="B28" s="3" t="s">
        <v>168</v>
      </c>
      <c r="C28" s="54">
        <f>N4</f>
        <v>32241623.84</v>
      </c>
      <c r="D28" s="29">
        <v>7915</v>
      </c>
      <c r="E28" s="155"/>
      <c r="F28" s="2"/>
      <c r="G28" s="2"/>
      <c r="H28" s="160">
        <f>SUM(D28+G28)/2</f>
        <v>3957.5</v>
      </c>
      <c r="I28" s="165">
        <f>C28+H28</f>
        <v>32245581.34</v>
      </c>
      <c r="J28" s="161">
        <v>0.04</v>
      </c>
      <c r="K28" s="2"/>
      <c r="L28" s="2"/>
      <c r="M28" s="39">
        <f>(I28*J28)/365*90</f>
        <v>318038.61047671235</v>
      </c>
      <c r="N28" s="100">
        <f t="shared" ref="N28:N45" si="4">H28+I28-M28</f>
        <v>31931500.229523286</v>
      </c>
    </row>
    <row r="29" spans="1:14" x14ac:dyDescent="0.25">
      <c r="A29" s="159">
        <v>1</v>
      </c>
      <c r="B29" s="3" t="s">
        <v>169</v>
      </c>
      <c r="C29" s="54">
        <f t="shared" ref="C29:C46" si="5">N5</f>
        <v>0</v>
      </c>
      <c r="D29" s="29">
        <v>0</v>
      </c>
      <c r="E29" s="155">
        <v>0</v>
      </c>
      <c r="F29" s="2" t="s">
        <v>0</v>
      </c>
      <c r="G29" s="2"/>
      <c r="H29" s="160">
        <f t="shared" ref="H29:H46" si="6">SUM(D29+G29)/2</f>
        <v>0</v>
      </c>
      <c r="I29" s="160">
        <f>E29</f>
        <v>0</v>
      </c>
      <c r="J29" s="161">
        <f>J28*1.5</f>
        <v>0.06</v>
      </c>
      <c r="K29" s="2"/>
      <c r="L29" s="2"/>
      <c r="M29" s="39">
        <f t="shared" ref="M29:M46" si="7">(I29*J29)/365*90</f>
        <v>0</v>
      </c>
      <c r="N29" s="100">
        <f t="shared" si="4"/>
        <v>0</v>
      </c>
    </row>
    <row r="30" spans="1:14" x14ac:dyDescent="0.25">
      <c r="A30" s="162">
        <v>2</v>
      </c>
      <c r="B30" s="3" t="s">
        <v>170</v>
      </c>
      <c r="C30" s="54">
        <f t="shared" si="5"/>
        <v>4652223.5599999996</v>
      </c>
      <c r="D30" s="29">
        <v>0</v>
      </c>
      <c r="E30" s="155">
        <v>0</v>
      </c>
      <c r="F30" s="2"/>
      <c r="G30" s="2"/>
      <c r="H30" s="160">
        <f t="shared" si="6"/>
        <v>0</v>
      </c>
      <c r="I30" s="160">
        <f t="shared" ref="I30:I42" si="8">C30+H30</f>
        <v>4652223.5599999996</v>
      </c>
      <c r="J30" s="161">
        <v>0.06</v>
      </c>
      <c r="K30" s="2"/>
      <c r="L30" s="2"/>
      <c r="M30" s="39">
        <f t="shared" si="7"/>
        <v>68827.417052054792</v>
      </c>
      <c r="N30" s="100">
        <f t="shared" si="4"/>
        <v>4583396.1429479448</v>
      </c>
    </row>
    <row r="31" spans="1:14" x14ac:dyDescent="0.25">
      <c r="A31" s="164">
        <v>8</v>
      </c>
      <c r="B31" s="56" t="s">
        <v>171</v>
      </c>
      <c r="C31" s="54">
        <f t="shared" si="5"/>
        <v>2055778.4</v>
      </c>
      <c r="D31" s="99">
        <v>30502</v>
      </c>
      <c r="E31" s="29">
        <v>0</v>
      </c>
      <c r="F31" s="2"/>
      <c r="G31" s="2"/>
      <c r="H31" s="160">
        <f t="shared" si="6"/>
        <v>15251</v>
      </c>
      <c r="I31" s="160">
        <f t="shared" si="8"/>
        <v>2071029.4</v>
      </c>
      <c r="J31" s="161">
        <v>0.2</v>
      </c>
      <c r="K31" s="2"/>
      <c r="L31" s="2"/>
      <c r="M31" s="39">
        <f t="shared" si="7"/>
        <v>102132.95671232876</v>
      </c>
      <c r="N31" s="100">
        <f t="shared" si="4"/>
        <v>1984147.4432876711</v>
      </c>
    </row>
    <row r="32" spans="1:14" x14ac:dyDescent="0.25">
      <c r="A32" s="164">
        <v>8</v>
      </c>
      <c r="B32" s="56" t="s">
        <v>62</v>
      </c>
      <c r="C32" s="54">
        <f t="shared" si="5"/>
        <v>0</v>
      </c>
      <c r="D32" s="29">
        <v>0</v>
      </c>
      <c r="E32" s="155"/>
      <c r="F32" s="2"/>
      <c r="G32" s="2"/>
      <c r="H32" s="160">
        <f>SUM(D32+G32)/2</f>
        <v>0</v>
      </c>
      <c r="I32" s="160">
        <f>E32</f>
        <v>0</v>
      </c>
      <c r="J32" s="161">
        <f>J31*1.5</f>
        <v>0.30000000000000004</v>
      </c>
      <c r="K32" s="2"/>
      <c r="L32" s="2"/>
      <c r="M32" s="39">
        <f t="shared" si="7"/>
        <v>0</v>
      </c>
      <c r="N32" s="100">
        <f t="shared" si="4"/>
        <v>0</v>
      </c>
    </row>
    <row r="33" spans="1:14" x14ac:dyDescent="0.25">
      <c r="A33" s="159">
        <v>10</v>
      </c>
      <c r="B33" s="3" t="s">
        <v>172</v>
      </c>
      <c r="C33" s="54">
        <f t="shared" si="5"/>
        <v>2613.8000000000002</v>
      </c>
      <c r="D33" s="29">
        <v>0</v>
      </c>
      <c r="E33" s="155"/>
      <c r="F33" s="2"/>
      <c r="G33" s="2">
        <v>0</v>
      </c>
      <c r="H33" s="160">
        <f t="shared" si="6"/>
        <v>0</v>
      </c>
      <c r="I33" s="160">
        <f t="shared" si="8"/>
        <v>2613.8000000000002</v>
      </c>
      <c r="J33" s="161">
        <v>0.3</v>
      </c>
      <c r="K33" s="2"/>
      <c r="L33" s="2"/>
      <c r="M33" s="39">
        <f t="shared" si="7"/>
        <v>193.3495890410959</v>
      </c>
      <c r="N33" s="100">
        <f t="shared" si="4"/>
        <v>2420.4504109589043</v>
      </c>
    </row>
    <row r="34" spans="1:14" x14ac:dyDescent="0.25">
      <c r="A34" s="164">
        <v>12</v>
      </c>
      <c r="B34" s="57" t="s">
        <v>173</v>
      </c>
      <c r="C34" s="54">
        <f t="shared" si="5"/>
        <v>62298</v>
      </c>
      <c r="D34" s="29">
        <v>8866</v>
      </c>
      <c r="E34" s="155"/>
      <c r="F34" s="2"/>
      <c r="G34" s="2"/>
      <c r="H34" s="160">
        <f t="shared" si="6"/>
        <v>4433</v>
      </c>
      <c r="I34" s="160">
        <f t="shared" si="8"/>
        <v>66731</v>
      </c>
      <c r="J34" s="161">
        <v>1</v>
      </c>
      <c r="K34" s="2"/>
      <c r="L34" s="2"/>
      <c r="M34" s="39">
        <f t="shared" si="7"/>
        <v>16454.219178082192</v>
      </c>
      <c r="N34" s="100">
        <f>H34+I34-M34</f>
        <v>54709.780821917811</v>
      </c>
    </row>
    <row r="35" spans="1:14" x14ac:dyDescent="0.25">
      <c r="A35" s="164">
        <v>12</v>
      </c>
      <c r="B35" s="3" t="s">
        <v>174</v>
      </c>
      <c r="C35" s="54">
        <f t="shared" si="5"/>
        <v>0</v>
      </c>
      <c r="D35" s="29">
        <v>0</v>
      </c>
      <c r="E35" s="155"/>
      <c r="F35" s="2"/>
      <c r="G35" s="2"/>
      <c r="H35" s="160">
        <f t="shared" si="6"/>
        <v>0</v>
      </c>
      <c r="I35" s="160">
        <f>E35</f>
        <v>0</v>
      </c>
      <c r="J35" s="161">
        <f>J34</f>
        <v>1</v>
      </c>
      <c r="K35" s="2"/>
      <c r="L35" s="2"/>
      <c r="M35" s="39">
        <f t="shared" si="7"/>
        <v>0</v>
      </c>
      <c r="N35" s="100">
        <f t="shared" si="4"/>
        <v>0</v>
      </c>
    </row>
    <row r="36" spans="1:14" x14ac:dyDescent="0.25">
      <c r="A36" s="59">
        <v>14.1</v>
      </c>
      <c r="B36" s="166" t="s">
        <v>175</v>
      </c>
      <c r="C36" s="54">
        <f t="shared" si="5"/>
        <v>424649.16</v>
      </c>
      <c r="D36" s="29">
        <v>0</v>
      </c>
      <c r="E36" s="155"/>
      <c r="F36" s="2"/>
      <c r="G36" s="2"/>
      <c r="H36" s="160">
        <f t="shared" si="6"/>
        <v>0</v>
      </c>
      <c r="I36" s="160">
        <f t="shared" si="8"/>
        <v>424649.16</v>
      </c>
      <c r="J36" s="168">
        <v>7.0000000000000007E-2</v>
      </c>
      <c r="K36" s="2"/>
      <c r="L36" s="2"/>
      <c r="M36" s="39">
        <f t="shared" si="7"/>
        <v>7329.5608438356167</v>
      </c>
      <c r="N36" s="100">
        <f t="shared" si="4"/>
        <v>417319.59915616433</v>
      </c>
    </row>
    <row r="37" spans="1:14" x14ac:dyDescent="0.25">
      <c r="A37" s="59">
        <v>14.1</v>
      </c>
      <c r="B37" s="169" t="s">
        <v>176</v>
      </c>
      <c r="C37" s="54">
        <f t="shared" si="5"/>
        <v>412627.8</v>
      </c>
      <c r="D37" s="29">
        <v>218802</v>
      </c>
      <c r="E37" s="155"/>
      <c r="F37" s="2"/>
      <c r="G37" s="2"/>
      <c r="H37" s="160">
        <f t="shared" si="6"/>
        <v>109401</v>
      </c>
      <c r="I37" s="160">
        <f t="shared" si="8"/>
        <v>522028.79999999999</v>
      </c>
      <c r="J37" s="168">
        <v>0.05</v>
      </c>
      <c r="K37" s="2"/>
      <c r="L37" s="2"/>
      <c r="M37" s="39">
        <f t="shared" si="7"/>
        <v>6435.9715068493151</v>
      </c>
      <c r="N37" s="100">
        <f>H37+I37-M37</f>
        <v>624993.82849315077</v>
      </c>
    </row>
    <row r="38" spans="1:14" x14ac:dyDescent="0.25">
      <c r="A38" s="59">
        <v>14.1</v>
      </c>
      <c r="B38" s="169" t="s">
        <v>185</v>
      </c>
      <c r="C38" s="54">
        <f t="shared" si="5"/>
        <v>0</v>
      </c>
      <c r="D38" s="29">
        <v>0</v>
      </c>
      <c r="E38" s="155"/>
      <c r="F38" s="2"/>
      <c r="G38" s="2"/>
      <c r="H38" s="160">
        <f>SUM(D38+G38)/2</f>
        <v>0</v>
      </c>
      <c r="I38" s="160">
        <f>E38</f>
        <v>0</v>
      </c>
      <c r="J38" s="161">
        <f>J37*1.5</f>
        <v>7.5000000000000011E-2</v>
      </c>
      <c r="K38" s="2"/>
      <c r="L38" s="2"/>
      <c r="M38" s="39">
        <f t="shared" si="7"/>
        <v>0</v>
      </c>
      <c r="N38" s="100">
        <f t="shared" si="4"/>
        <v>0</v>
      </c>
    </row>
    <row r="39" spans="1:14" x14ac:dyDescent="0.25">
      <c r="A39" s="164">
        <v>17</v>
      </c>
      <c r="B39" s="57" t="s">
        <v>177</v>
      </c>
      <c r="C39" s="54">
        <f t="shared" si="5"/>
        <v>266692.36</v>
      </c>
      <c r="D39" s="99">
        <v>0</v>
      </c>
      <c r="E39" s="29"/>
      <c r="F39" s="2"/>
      <c r="G39" s="2"/>
      <c r="H39" s="160">
        <f t="shared" si="6"/>
        <v>0</v>
      </c>
      <c r="I39" s="160">
        <f t="shared" si="8"/>
        <v>266692.36</v>
      </c>
      <c r="J39" s="161">
        <v>0.08</v>
      </c>
      <c r="K39" s="2"/>
      <c r="L39" s="2"/>
      <c r="M39" s="39">
        <f t="shared" si="7"/>
        <v>5260.7807999999995</v>
      </c>
      <c r="N39" s="100">
        <f t="shared" si="4"/>
        <v>261431.57919999998</v>
      </c>
    </row>
    <row r="40" spans="1:14" x14ac:dyDescent="0.25">
      <c r="A40" s="59">
        <v>43.2</v>
      </c>
      <c r="B40" s="166" t="s">
        <v>178</v>
      </c>
      <c r="C40" s="54">
        <f t="shared" si="5"/>
        <v>13525</v>
      </c>
      <c r="D40" s="29">
        <v>0</v>
      </c>
      <c r="E40" s="155"/>
      <c r="F40" s="2"/>
      <c r="G40" s="2"/>
      <c r="H40" s="160">
        <f t="shared" si="6"/>
        <v>0</v>
      </c>
      <c r="I40" s="160">
        <f t="shared" si="8"/>
        <v>13525</v>
      </c>
      <c r="J40" s="168">
        <v>0.5</v>
      </c>
      <c r="K40" s="2"/>
      <c r="L40" s="2"/>
      <c r="M40" s="39">
        <f t="shared" si="7"/>
        <v>1667.4657534246576</v>
      </c>
      <c r="N40" s="100">
        <f t="shared" si="4"/>
        <v>11857.534246575342</v>
      </c>
    </row>
    <row r="41" spans="1:14" x14ac:dyDescent="0.25">
      <c r="A41" s="159">
        <v>45</v>
      </c>
      <c r="B41" s="3" t="s">
        <v>179</v>
      </c>
      <c r="C41" s="54">
        <f t="shared" si="5"/>
        <v>170.5</v>
      </c>
      <c r="D41" s="29">
        <v>0</v>
      </c>
      <c r="E41" s="155"/>
      <c r="F41" s="2"/>
      <c r="G41" s="2"/>
      <c r="H41" s="160">
        <f t="shared" si="6"/>
        <v>0</v>
      </c>
      <c r="I41" s="160">
        <f t="shared" si="8"/>
        <v>170.5</v>
      </c>
      <c r="J41" s="161">
        <v>0.45</v>
      </c>
      <c r="K41" s="2"/>
      <c r="L41" s="170"/>
      <c r="M41" s="39">
        <f t="shared" si="7"/>
        <v>18.918493150684935</v>
      </c>
      <c r="N41" s="100">
        <f t="shared" si="4"/>
        <v>151.58150684931508</v>
      </c>
    </row>
    <row r="42" spans="1:14" x14ac:dyDescent="0.25">
      <c r="A42" s="164">
        <v>47</v>
      </c>
      <c r="B42" s="56" t="s">
        <v>180</v>
      </c>
      <c r="C42" s="54">
        <f t="shared" si="5"/>
        <v>43105131.920000002</v>
      </c>
      <c r="D42" s="29">
        <v>1255609</v>
      </c>
      <c r="E42" s="155"/>
      <c r="F42" s="2"/>
      <c r="G42" s="2"/>
      <c r="H42" s="160">
        <f t="shared" si="6"/>
        <v>627804.5</v>
      </c>
      <c r="I42" s="160">
        <f t="shared" si="8"/>
        <v>43732936.420000002</v>
      </c>
      <c r="J42" s="161">
        <v>0.08</v>
      </c>
      <c r="K42" s="2"/>
      <c r="L42" s="2"/>
      <c r="M42" s="39">
        <f t="shared" si="7"/>
        <v>862677.10198356176</v>
      </c>
      <c r="N42" s="100">
        <f>H42+I42-M42</f>
        <v>43498063.81801644</v>
      </c>
    </row>
    <row r="43" spans="1:14" x14ac:dyDescent="0.25">
      <c r="A43" s="164">
        <v>47</v>
      </c>
      <c r="B43" s="56" t="s">
        <v>181</v>
      </c>
      <c r="C43" s="54">
        <f t="shared" si="5"/>
        <v>0</v>
      </c>
      <c r="D43" s="171">
        <v>0</v>
      </c>
      <c r="E43" s="155"/>
      <c r="F43" s="2"/>
      <c r="G43" s="2"/>
      <c r="H43" s="160">
        <f t="shared" si="6"/>
        <v>0</v>
      </c>
      <c r="I43" s="160">
        <f>E43</f>
        <v>0</v>
      </c>
      <c r="J43" s="161">
        <f>J42*1.5</f>
        <v>0.12</v>
      </c>
      <c r="K43" s="2"/>
      <c r="L43" s="2"/>
      <c r="M43" s="39">
        <f t="shared" si="7"/>
        <v>0</v>
      </c>
      <c r="N43" s="100">
        <f t="shared" si="4"/>
        <v>0</v>
      </c>
    </row>
    <row r="44" spans="1:14" x14ac:dyDescent="0.25">
      <c r="A44" s="159">
        <v>50</v>
      </c>
      <c r="B44" s="3" t="s">
        <v>179</v>
      </c>
      <c r="C44" s="54">
        <f t="shared" si="5"/>
        <v>80095.799999999988</v>
      </c>
      <c r="D44" s="99">
        <v>1201</v>
      </c>
      <c r="E44" s="29"/>
      <c r="F44" s="2">
        <v>0</v>
      </c>
      <c r="G44" s="99">
        <v>0</v>
      </c>
      <c r="H44" s="160">
        <f t="shared" si="6"/>
        <v>600.5</v>
      </c>
      <c r="I44" s="160">
        <f>C44+H44</f>
        <v>80696.299999999988</v>
      </c>
      <c r="J44" s="168">
        <v>0.55000000000000004</v>
      </c>
      <c r="K44" s="2"/>
      <c r="L44" s="2"/>
      <c r="M44" s="39">
        <f t="shared" si="7"/>
        <v>10943.744794520548</v>
      </c>
      <c r="N44" s="100">
        <f>H44+I44-M44</f>
        <v>70353.055205479439</v>
      </c>
    </row>
    <row r="45" spans="1:14" x14ac:dyDescent="0.25">
      <c r="A45" s="172">
        <v>50</v>
      </c>
      <c r="B45" s="3" t="s">
        <v>182</v>
      </c>
      <c r="C45" s="54">
        <f t="shared" si="5"/>
        <v>0</v>
      </c>
      <c r="D45" s="29">
        <v>0</v>
      </c>
      <c r="E45" s="155"/>
      <c r="F45" s="2"/>
      <c r="G45" s="2">
        <v>0</v>
      </c>
      <c r="H45" s="160">
        <f t="shared" si="6"/>
        <v>0</v>
      </c>
      <c r="I45" s="160">
        <f>E45</f>
        <v>0</v>
      </c>
      <c r="J45" s="161">
        <f>J44*1.5</f>
        <v>0.82500000000000007</v>
      </c>
      <c r="K45" s="2"/>
      <c r="L45" s="2"/>
      <c r="M45" s="39">
        <f t="shared" si="7"/>
        <v>0</v>
      </c>
      <c r="N45" s="100">
        <f t="shared" si="4"/>
        <v>0</v>
      </c>
    </row>
    <row r="46" spans="1:14" x14ac:dyDescent="0.25">
      <c r="A46" s="173">
        <v>95</v>
      </c>
      <c r="B46" s="60" t="s">
        <v>10</v>
      </c>
      <c r="C46" s="54">
        <f t="shared" si="5"/>
        <v>953217</v>
      </c>
      <c r="D46" s="29">
        <v>1372928</v>
      </c>
      <c r="E46" s="155">
        <v>0</v>
      </c>
      <c r="F46" s="2">
        <v>0</v>
      </c>
      <c r="G46" s="2"/>
      <c r="H46" s="160">
        <f t="shared" si="6"/>
        <v>686464</v>
      </c>
      <c r="I46" s="155">
        <f>C46+D46+F46</f>
        <v>2326145</v>
      </c>
      <c r="J46" s="168">
        <v>0</v>
      </c>
      <c r="K46" s="2"/>
      <c r="L46" s="2"/>
      <c r="M46" s="39">
        <f t="shared" si="7"/>
        <v>0</v>
      </c>
      <c r="N46" s="100">
        <f>I46-M46</f>
        <v>2326145</v>
      </c>
    </row>
    <row r="47" spans="1:14" ht="15.75" thickBot="1" x14ac:dyDescent="0.3">
      <c r="A47" s="61" t="s">
        <v>11</v>
      </c>
      <c r="B47" s="62"/>
      <c r="C47" s="63">
        <f t="shared" ref="C47:I47" si="9">SUM(C28:C46)</f>
        <v>84270647.139999986</v>
      </c>
      <c r="D47" s="64">
        <f t="shared" si="9"/>
        <v>2895823</v>
      </c>
      <c r="E47" s="64">
        <f t="shared" si="9"/>
        <v>0</v>
      </c>
      <c r="F47" s="23">
        <f t="shared" si="9"/>
        <v>0</v>
      </c>
      <c r="G47" s="27">
        <f t="shared" si="9"/>
        <v>0</v>
      </c>
      <c r="H47" s="63">
        <f t="shared" si="9"/>
        <v>1447911.5</v>
      </c>
      <c r="I47" s="63">
        <f t="shared" si="9"/>
        <v>86405022.639999986</v>
      </c>
      <c r="J47" s="63" t="s">
        <v>0</v>
      </c>
      <c r="K47" s="63">
        <f>SUM(K28:K46)</f>
        <v>0</v>
      </c>
      <c r="L47" s="63">
        <f>SUM(L28:L46)</f>
        <v>0</v>
      </c>
      <c r="M47" s="63">
        <f>SUM(M28:M46)</f>
        <v>1399980.0971835619</v>
      </c>
      <c r="N47" s="63">
        <f>SUM(N28:N46)</f>
        <v>85766490.042816445</v>
      </c>
    </row>
    <row r="48" spans="1:14" ht="15.75" thickTop="1" x14ac:dyDescent="0.25"/>
    <row r="49" spans="1:14" x14ac:dyDescent="0.25">
      <c r="A49">
        <v>2019</v>
      </c>
      <c r="B49" t="s">
        <v>142</v>
      </c>
      <c r="D49" s="175"/>
      <c r="E49" s="175"/>
    </row>
    <row r="50" spans="1:14" ht="45" x14ac:dyDescent="0.25">
      <c r="A50" s="150" t="s">
        <v>2</v>
      </c>
      <c r="B50" s="53" t="s">
        <v>3</v>
      </c>
      <c r="C50" s="53" t="s">
        <v>63</v>
      </c>
      <c r="D50" s="151" t="s">
        <v>183</v>
      </c>
      <c r="E50" s="151" t="s">
        <v>184</v>
      </c>
      <c r="F50" s="151" t="s">
        <v>4</v>
      </c>
      <c r="G50" s="151" t="s">
        <v>12</v>
      </c>
      <c r="H50" s="151" t="s">
        <v>5</v>
      </c>
      <c r="I50" s="151" t="s">
        <v>6</v>
      </c>
      <c r="J50" s="151" t="s">
        <v>57</v>
      </c>
      <c r="K50" s="151" t="s">
        <v>58</v>
      </c>
      <c r="L50" s="151" t="s">
        <v>7</v>
      </c>
      <c r="M50" s="152" t="s">
        <v>100</v>
      </c>
      <c r="N50" s="153" t="s">
        <v>8</v>
      </c>
    </row>
    <row r="51" spans="1:14" x14ac:dyDescent="0.25">
      <c r="A51" s="150"/>
      <c r="B51" s="53"/>
      <c r="C51" s="154"/>
      <c r="D51" s="28"/>
      <c r="E51" s="155"/>
      <c r="F51" s="1"/>
      <c r="G51" s="1"/>
      <c r="H51" s="1"/>
      <c r="I51" s="156"/>
      <c r="J51" s="157"/>
      <c r="K51" s="1"/>
      <c r="L51" s="1"/>
      <c r="M51" s="73"/>
      <c r="N51" s="158"/>
    </row>
    <row r="52" spans="1:14" x14ac:dyDescent="0.25">
      <c r="A52" s="159">
        <v>1</v>
      </c>
      <c r="B52" s="3" t="s">
        <v>168</v>
      </c>
      <c r="C52" s="54">
        <f>N28</f>
        <v>31931500.229523286</v>
      </c>
      <c r="D52" s="30">
        <v>197199.21</v>
      </c>
      <c r="E52" s="155"/>
      <c r="F52" s="2"/>
      <c r="G52" s="2"/>
      <c r="H52" s="160">
        <f t="shared" ref="H52:H70" si="10">SUM(D52+G52)/2</f>
        <v>98599.604999999996</v>
      </c>
      <c r="I52" s="160">
        <f>C52+H52</f>
        <v>32030099.834523287</v>
      </c>
      <c r="J52" s="161">
        <v>0.04</v>
      </c>
      <c r="K52" s="2"/>
      <c r="L52" s="2"/>
      <c r="M52" s="39">
        <f t="shared" ref="M52:M70" si="11">(I52*J52)/365*275</f>
        <v>965290.67994453746</v>
      </c>
      <c r="N52" s="100">
        <f t="shared" ref="N52:N69" si="12">H52+I52-M52</f>
        <v>31163408.75957875</v>
      </c>
    </row>
    <row r="53" spans="1:14" x14ac:dyDescent="0.25">
      <c r="A53" s="159">
        <v>1</v>
      </c>
      <c r="B53" s="3" t="s">
        <v>169</v>
      </c>
      <c r="C53" s="54">
        <f t="shared" ref="C53:C69" si="13">N29</f>
        <v>0</v>
      </c>
      <c r="D53" s="29">
        <v>0</v>
      </c>
      <c r="E53" s="155">
        <v>0</v>
      </c>
      <c r="F53" s="2" t="s">
        <v>0</v>
      </c>
      <c r="G53" s="2"/>
      <c r="H53" s="160">
        <f t="shared" si="10"/>
        <v>0</v>
      </c>
      <c r="I53" s="160">
        <f>E53</f>
        <v>0</v>
      </c>
      <c r="J53" s="161">
        <f>J52*1.5</f>
        <v>0.06</v>
      </c>
      <c r="K53" s="2"/>
      <c r="L53" s="2"/>
      <c r="M53" s="39">
        <f t="shared" si="11"/>
        <v>0</v>
      </c>
      <c r="N53" s="100">
        <f t="shared" si="12"/>
        <v>0</v>
      </c>
    </row>
    <row r="54" spans="1:14" x14ac:dyDescent="0.25">
      <c r="A54" s="162">
        <v>2</v>
      </c>
      <c r="B54" s="3" t="s">
        <v>170</v>
      </c>
      <c r="C54" s="54">
        <f t="shared" si="13"/>
        <v>4583396.1429479448</v>
      </c>
      <c r="D54" s="29">
        <v>0</v>
      </c>
      <c r="E54" s="155">
        <v>0</v>
      </c>
      <c r="F54" s="2"/>
      <c r="G54" s="2"/>
      <c r="H54" s="160">
        <f t="shared" si="10"/>
        <v>0</v>
      </c>
      <c r="I54" s="160">
        <f>C54+H54</f>
        <v>4583396.1429479448</v>
      </c>
      <c r="J54" s="161">
        <v>0.06</v>
      </c>
      <c r="K54" s="2"/>
      <c r="L54" s="2"/>
      <c r="M54" s="39">
        <f t="shared" si="11"/>
        <v>207194.6201606605</v>
      </c>
      <c r="N54" s="100">
        <f t="shared" si="12"/>
        <v>4376201.5227872841</v>
      </c>
    </row>
    <row r="55" spans="1:14" x14ac:dyDescent="0.25">
      <c r="A55" s="164">
        <v>8</v>
      </c>
      <c r="B55" s="56" t="s">
        <v>171</v>
      </c>
      <c r="C55" s="54">
        <f t="shared" si="13"/>
        <v>1984147.4432876711</v>
      </c>
      <c r="D55" s="30">
        <v>164902.79</v>
      </c>
      <c r="E55" s="29">
        <v>0</v>
      </c>
      <c r="F55" s="2">
        <v>444914</v>
      </c>
      <c r="G55" s="2"/>
      <c r="H55" s="160">
        <f>SUM(D55+G55)/2</f>
        <v>82451.395000000004</v>
      </c>
      <c r="I55" s="160">
        <f>C55+H55+F55</f>
        <v>2511512.8382876711</v>
      </c>
      <c r="J55" s="161">
        <v>0.2</v>
      </c>
      <c r="K55" s="2"/>
      <c r="L55" s="2"/>
      <c r="M55" s="39">
        <f t="shared" si="11"/>
        <v>378447.14001595048</v>
      </c>
      <c r="N55" s="100">
        <f t="shared" si="12"/>
        <v>2215517.0932717207</v>
      </c>
    </row>
    <row r="56" spans="1:14" x14ac:dyDescent="0.25">
      <c r="A56" s="164">
        <v>8</v>
      </c>
      <c r="B56" s="56" t="s">
        <v>62</v>
      </c>
      <c r="C56" s="54">
        <f t="shared" si="13"/>
        <v>0</v>
      </c>
      <c r="D56" s="29">
        <v>0</v>
      </c>
      <c r="E56" s="155"/>
      <c r="F56" s="2"/>
      <c r="G56" s="2"/>
      <c r="H56" s="160">
        <f t="shared" si="10"/>
        <v>0</v>
      </c>
      <c r="I56" s="160">
        <f>E56</f>
        <v>0</v>
      </c>
      <c r="J56" s="161">
        <f>J55*1.5</f>
        <v>0.30000000000000004</v>
      </c>
      <c r="K56" s="2"/>
      <c r="L56" s="2"/>
      <c r="M56" s="39">
        <f t="shared" si="11"/>
        <v>0</v>
      </c>
      <c r="N56" s="100">
        <f t="shared" si="12"/>
        <v>0</v>
      </c>
    </row>
    <row r="57" spans="1:14" x14ac:dyDescent="0.25">
      <c r="A57" s="159">
        <v>10</v>
      </c>
      <c r="B57" s="3" t="s">
        <v>172</v>
      </c>
      <c r="C57" s="54">
        <f t="shared" si="13"/>
        <v>2420.4504109589043</v>
      </c>
      <c r="D57" s="29">
        <v>0</v>
      </c>
      <c r="E57" s="155"/>
      <c r="F57" s="2"/>
      <c r="G57" s="2">
        <v>0</v>
      </c>
      <c r="H57" s="160">
        <f t="shared" si="10"/>
        <v>0</v>
      </c>
      <c r="I57" s="160">
        <f>C57+H57</f>
        <v>2420.4504109589043</v>
      </c>
      <c r="J57" s="161">
        <v>0.3</v>
      </c>
      <c r="K57" s="2"/>
      <c r="L57" s="2"/>
      <c r="M57" s="39">
        <f t="shared" si="11"/>
        <v>547.08810658660161</v>
      </c>
      <c r="N57" s="100">
        <f t="shared" si="12"/>
        <v>1873.3623043723028</v>
      </c>
    </row>
    <row r="58" spans="1:14" x14ac:dyDescent="0.25">
      <c r="A58" s="164">
        <v>12</v>
      </c>
      <c r="B58" s="57" t="s">
        <v>173</v>
      </c>
      <c r="C58" s="54">
        <f t="shared" si="13"/>
        <v>54709.780821917811</v>
      </c>
      <c r="D58" s="30">
        <v>22579</v>
      </c>
      <c r="E58" s="155"/>
      <c r="F58" s="2"/>
      <c r="G58" s="2"/>
      <c r="H58" s="160">
        <f t="shared" si="10"/>
        <v>11289.5</v>
      </c>
      <c r="I58" s="160">
        <f>C58+H58</f>
        <v>65999.280821917811</v>
      </c>
      <c r="J58" s="161">
        <v>1</v>
      </c>
      <c r="K58" s="2"/>
      <c r="L58" s="2"/>
      <c r="M58" s="39">
        <f t="shared" si="11"/>
        <v>49725.485550759993</v>
      </c>
      <c r="N58" s="100">
        <f t="shared" si="12"/>
        <v>27563.295271157818</v>
      </c>
    </row>
    <row r="59" spans="1:14" x14ac:dyDescent="0.25">
      <c r="A59" s="164">
        <v>12</v>
      </c>
      <c r="B59" s="3" t="s">
        <v>174</v>
      </c>
      <c r="C59" s="54">
        <f t="shared" si="13"/>
        <v>0</v>
      </c>
      <c r="D59" s="29">
        <v>0</v>
      </c>
      <c r="E59" s="155"/>
      <c r="F59" s="2"/>
      <c r="G59" s="2"/>
      <c r="H59" s="160">
        <f t="shared" si="10"/>
        <v>0</v>
      </c>
      <c r="I59" s="160">
        <f>E59</f>
        <v>0</v>
      </c>
      <c r="J59" s="161">
        <f>J58</f>
        <v>1</v>
      </c>
      <c r="K59" s="2"/>
      <c r="L59" s="2"/>
      <c r="M59" s="39">
        <f t="shared" si="11"/>
        <v>0</v>
      </c>
      <c r="N59" s="100">
        <f t="shared" si="12"/>
        <v>0</v>
      </c>
    </row>
    <row r="60" spans="1:14" x14ac:dyDescent="0.25">
      <c r="A60" s="59">
        <v>14.1</v>
      </c>
      <c r="B60" s="166" t="s">
        <v>175</v>
      </c>
      <c r="C60" s="54">
        <f t="shared" si="13"/>
        <v>417319.59915616433</v>
      </c>
      <c r="D60" s="29">
        <v>0</v>
      </c>
      <c r="E60" s="155"/>
      <c r="F60" s="2"/>
      <c r="G60" s="2"/>
      <c r="H60" s="160">
        <f t="shared" si="10"/>
        <v>0</v>
      </c>
      <c r="I60" s="160">
        <f>C60+H60</f>
        <v>417319.59915616433</v>
      </c>
      <c r="J60" s="168">
        <v>7.0000000000000007E-2</v>
      </c>
      <c r="K60" s="2"/>
      <c r="L60" s="2"/>
      <c r="M60" s="39">
        <f t="shared" si="11"/>
        <v>22009.321325359353</v>
      </c>
      <c r="N60" s="100">
        <f t="shared" si="12"/>
        <v>395310.27783080499</v>
      </c>
    </row>
    <row r="61" spans="1:14" x14ac:dyDescent="0.25">
      <c r="A61" s="59">
        <v>14.1</v>
      </c>
      <c r="B61" s="169" t="s">
        <v>176</v>
      </c>
      <c r="C61" s="54">
        <f t="shared" si="13"/>
        <v>624993.82849315077</v>
      </c>
      <c r="D61" s="29">
        <v>0</v>
      </c>
      <c r="E61" s="155"/>
      <c r="F61" s="2"/>
      <c r="G61" s="2"/>
      <c r="H61" s="160">
        <f t="shared" si="10"/>
        <v>0</v>
      </c>
      <c r="I61" s="160">
        <f>C61+H61</f>
        <v>624993.82849315077</v>
      </c>
      <c r="J61" s="168">
        <v>0.05</v>
      </c>
      <c r="K61" s="2"/>
      <c r="L61" s="2"/>
      <c r="M61" s="39">
        <f t="shared" si="11"/>
        <v>23544.28805967349</v>
      </c>
      <c r="N61" s="100">
        <f t="shared" si="12"/>
        <v>601449.54043347726</v>
      </c>
    </row>
    <row r="62" spans="1:14" x14ac:dyDescent="0.25">
      <c r="A62" s="59">
        <v>14.1</v>
      </c>
      <c r="B62" s="169" t="s">
        <v>185</v>
      </c>
      <c r="C62" s="54">
        <f t="shared" si="13"/>
        <v>0</v>
      </c>
      <c r="D62" s="29">
        <v>0</v>
      </c>
      <c r="E62" s="155"/>
      <c r="F62" s="2"/>
      <c r="G62" s="2"/>
      <c r="H62" s="160">
        <f t="shared" si="10"/>
        <v>0</v>
      </c>
      <c r="I62" s="160">
        <f>E62</f>
        <v>0</v>
      </c>
      <c r="J62" s="161">
        <f>J61*1.5</f>
        <v>7.5000000000000011E-2</v>
      </c>
      <c r="K62" s="2"/>
      <c r="L62" s="2"/>
      <c r="M62" s="39">
        <f t="shared" si="11"/>
        <v>0</v>
      </c>
      <c r="N62" s="100">
        <f t="shared" si="12"/>
        <v>0</v>
      </c>
    </row>
    <row r="63" spans="1:14" x14ac:dyDescent="0.25">
      <c r="A63" s="164">
        <v>17</v>
      </c>
      <c r="B63" s="57" t="s">
        <v>177</v>
      </c>
      <c r="C63" s="54">
        <f t="shared" si="13"/>
        <v>261431.57919999998</v>
      </c>
      <c r="D63" s="99">
        <v>0</v>
      </c>
      <c r="E63" s="29"/>
      <c r="F63" s="2"/>
      <c r="G63" s="2"/>
      <c r="H63" s="160">
        <f t="shared" si="10"/>
        <v>0</v>
      </c>
      <c r="I63" s="160">
        <f>C63+H63</f>
        <v>261431.57919999998</v>
      </c>
      <c r="J63" s="161">
        <v>0.08</v>
      </c>
      <c r="K63" s="2"/>
      <c r="L63" s="2"/>
      <c r="M63" s="39">
        <f t="shared" si="11"/>
        <v>15757.519842191781</v>
      </c>
      <c r="N63" s="100">
        <f t="shared" si="12"/>
        <v>245674.0593578082</v>
      </c>
    </row>
    <row r="64" spans="1:14" x14ac:dyDescent="0.25">
      <c r="A64" s="59">
        <v>43.2</v>
      </c>
      <c r="B64" s="166" t="s">
        <v>178</v>
      </c>
      <c r="C64" s="54">
        <f t="shared" si="13"/>
        <v>11857.534246575342</v>
      </c>
      <c r="D64" s="29">
        <v>0</v>
      </c>
      <c r="E64" s="155"/>
      <c r="F64" s="2"/>
      <c r="G64" s="2"/>
      <c r="H64" s="160">
        <f t="shared" si="10"/>
        <v>0</v>
      </c>
      <c r="I64" s="160">
        <f>C64+H64</f>
        <v>11857.534246575342</v>
      </c>
      <c r="J64" s="168">
        <v>0.5</v>
      </c>
      <c r="K64" s="2"/>
      <c r="L64" s="2"/>
      <c r="M64" s="39">
        <f t="shared" si="11"/>
        <v>4466.879339463314</v>
      </c>
      <c r="N64" s="100">
        <f t="shared" si="12"/>
        <v>7390.654907112028</v>
      </c>
    </row>
    <row r="65" spans="1:14" x14ac:dyDescent="0.25">
      <c r="A65" s="159">
        <v>45</v>
      </c>
      <c r="B65" s="3" t="s">
        <v>179</v>
      </c>
      <c r="C65" s="54">
        <f t="shared" si="13"/>
        <v>151.58150684931508</v>
      </c>
      <c r="D65" s="29">
        <v>0</v>
      </c>
      <c r="E65" s="155"/>
      <c r="F65" s="2"/>
      <c r="G65" s="2"/>
      <c r="H65" s="160">
        <f t="shared" si="10"/>
        <v>0</v>
      </c>
      <c r="I65" s="160">
        <f>C65+H65</f>
        <v>151.58150684931508</v>
      </c>
      <c r="J65" s="161">
        <v>0.45</v>
      </c>
      <c r="K65" s="2"/>
      <c r="L65" s="170"/>
      <c r="M65" s="39">
        <f t="shared" si="11"/>
        <v>51.392360198911618</v>
      </c>
      <c r="N65" s="100">
        <f t="shared" si="12"/>
        <v>100.18914665040346</v>
      </c>
    </row>
    <row r="66" spans="1:14" x14ac:dyDescent="0.25">
      <c r="A66" s="164">
        <v>47</v>
      </c>
      <c r="B66" s="56" t="s">
        <v>180</v>
      </c>
      <c r="C66" s="54">
        <f t="shared" si="13"/>
        <v>43498063.81801644</v>
      </c>
      <c r="D66" s="30">
        <v>9973005</v>
      </c>
      <c r="E66" s="155"/>
      <c r="F66" s="2"/>
      <c r="G66" s="2"/>
      <c r="H66" s="160">
        <f t="shared" si="10"/>
        <v>4986502.5</v>
      </c>
      <c r="I66" s="160">
        <f>C66+H66</f>
        <v>48484566.31801644</v>
      </c>
      <c r="J66" s="161">
        <v>0.08</v>
      </c>
      <c r="K66" s="2"/>
      <c r="L66" s="2"/>
      <c r="M66" s="39">
        <f t="shared" si="11"/>
        <v>2922357.4219078403</v>
      </c>
      <c r="N66" s="100">
        <f t="shared" si="12"/>
        <v>50548711.396108598</v>
      </c>
    </row>
    <row r="67" spans="1:14" x14ac:dyDescent="0.25">
      <c r="A67" s="164">
        <v>47</v>
      </c>
      <c r="B67" s="56" t="s">
        <v>181</v>
      </c>
      <c r="C67" s="54">
        <f t="shared" si="13"/>
        <v>0</v>
      </c>
      <c r="D67" s="171">
        <v>0</v>
      </c>
      <c r="E67" s="155"/>
      <c r="F67" s="2"/>
      <c r="G67" s="2"/>
      <c r="H67" s="160">
        <f t="shared" si="10"/>
        <v>0</v>
      </c>
      <c r="I67" s="160">
        <f>E67</f>
        <v>0</v>
      </c>
      <c r="J67" s="161">
        <f>J66*1.5</f>
        <v>0.12</v>
      </c>
      <c r="K67" s="2"/>
      <c r="L67" s="2"/>
      <c r="M67" s="39">
        <f t="shared" si="11"/>
        <v>0</v>
      </c>
      <c r="N67" s="100">
        <f t="shared" si="12"/>
        <v>0</v>
      </c>
    </row>
    <row r="68" spans="1:14" x14ac:dyDescent="0.25">
      <c r="A68" s="159">
        <v>50</v>
      </c>
      <c r="B68" s="3" t="s">
        <v>179</v>
      </c>
      <c r="C68" s="54">
        <f t="shared" si="13"/>
        <v>70353.055205479439</v>
      </c>
      <c r="D68" s="30">
        <v>9292.84</v>
      </c>
      <c r="E68" s="29"/>
      <c r="F68" s="2">
        <v>0</v>
      </c>
      <c r="G68" s="99">
        <v>0</v>
      </c>
      <c r="H68" s="160">
        <f t="shared" si="10"/>
        <v>4646.42</v>
      </c>
      <c r="I68" s="160">
        <f>C68+H68</f>
        <v>74999.475205479437</v>
      </c>
      <c r="J68" s="168">
        <v>0.55000000000000004</v>
      </c>
      <c r="K68" s="2"/>
      <c r="L68" s="2"/>
      <c r="M68" s="39">
        <f t="shared" si="11"/>
        <v>31078.549657065112</v>
      </c>
      <c r="N68" s="100">
        <f t="shared" si="12"/>
        <v>48567.34554841432</v>
      </c>
    </row>
    <row r="69" spans="1:14" x14ac:dyDescent="0.25">
      <c r="A69" s="172">
        <v>50</v>
      </c>
      <c r="B69" s="3" t="s">
        <v>182</v>
      </c>
      <c r="C69" s="54">
        <f t="shared" si="13"/>
        <v>0</v>
      </c>
      <c r="D69" s="29">
        <v>0</v>
      </c>
      <c r="E69" s="155"/>
      <c r="F69" s="2"/>
      <c r="G69" s="2">
        <v>0</v>
      </c>
      <c r="H69" s="160">
        <f t="shared" si="10"/>
        <v>0</v>
      </c>
      <c r="I69" s="160">
        <f>E69</f>
        <v>0</v>
      </c>
      <c r="J69" s="161">
        <f>J68*1.5</f>
        <v>0.82500000000000007</v>
      </c>
      <c r="K69" s="2"/>
      <c r="L69" s="2"/>
      <c r="M69" s="39">
        <f t="shared" si="11"/>
        <v>0</v>
      </c>
      <c r="N69" s="100">
        <f t="shared" si="12"/>
        <v>0</v>
      </c>
    </row>
    <row r="70" spans="1:14" x14ac:dyDescent="0.25">
      <c r="A70" s="173">
        <v>95</v>
      </c>
      <c r="B70" s="60" t="s">
        <v>10</v>
      </c>
      <c r="C70" s="54">
        <v>0</v>
      </c>
      <c r="D70" s="29">
        <v>0</v>
      </c>
      <c r="E70" s="155">
        <v>0</v>
      </c>
      <c r="F70" s="2">
        <v>0</v>
      </c>
      <c r="G70" s="2"/>
      <c r="H70" s="160">
        <f t="shared" si="10"/>
        <v>0</v>
      </c>
      <c r="I70" s="155">
        <f>C70+D70+F70</f>
        <v>0</v>
      </c>
      <c r="J70" s="168">
        <v>0</v>
      </c>
      <c r="K70" s="2"/>
      <c r="L70" s="2"/>
      <c r="M70" s="39">
        <f t="shared" si="11"/>
        <v>0</v>
      </c>
      <c r="N70" s="100">
        <f>I70-M70</f>
        <v>0</v>
      </c>
    </row>
    <row r="71" spans="1:14" ht="15.75" thickBot="1" x14ac:dyDescent="0.3">
      <c r="A71" s="61" t="s">
        <v>11</v>
      </c>
      <c r="B71" s="62"/>
      <c r="C71" s="63">
        <f t="shared" ref="C71:I71" si="14">SUM(C52:C70)</f>
        <v>83440345.042816445</v>
      </c>
      <c r="D71" s="64">
        <f t="shared" si="14"/>
        <v>10366978.84</v>
      </c>
      <c r="E71" s="64">
        <f t="shared" si="14"/>
        <v>0</v>
      </c>
      <c r="F71" s="23">
        <f t="shared" si="14"/>
        <v>444914</v>
      </c>
      <c r="G71" s="27">
        <f t="shared" si="14"/>
        <v>0</v>
      </c>
      <c r="H71" s="63">
        <f t="shared" si="14"/>
        <v>5183489.42</v>
      </c>
      <c r="I71" s="63">
        <f t="shared" si="14"/>
        <v>89068748.462816447</v>
      </c>
      <c r="J71" s="63" t="s">
        <v>0</v>
      </c>
      <c r="K71" s="63">
        <f>SUM(K52:K70)</f>
        <v>0</v>
      </c>
      <c r="L71" s="63">
        <f>SUM(L52:L70)</f>
        <v>0</v>
      </c>
      <c r="M71" s="63">
        <f>SUM(M52:M70)</f>
        <v>4620470.3862702884</v>
      </c>
      <c r="N71" s="63">
        <f>SUM(N52:N70)</f>
        <v>89631767.496546149</v>
      </c>
    </row>
    <row r="72" spans="1:14" ht="15.75" thickTop="1" x14ac:dyDescent="0.25"/>
    <row r="73" spans="1:14" x14ac:dyDescent="0.25">
      <c r="A73">
        <v>2020</v>
      </c>
      <c r="B73" t="s">
        <v>142</v>
      </c>
      <c r="D73" s="175"/>
      <c r="E73" s="175"/>
    </row>
    <row r="74" spans="1:14" ht="30" x14ac:dyDescent="0.25">
      <c r="A74" s="150" t="s">
        <v>2</v>
      </c>
      <c r="B74" s="53" t="s">
        <v>3</v>
      </c>
      <c r="C74" s="53" t="s">
        <v>186</v>
      </c>
      <c r="D74" s="151" t="s">
        <v>102</v>
      </c>
      <c r="E74" s="151" t="s">
        <v>184</v>
      </c>
      <c r="F74" s="151" t="s">
        <v>4</v>
      </c>
      <c r="G74" s="151" t="s">
        <v>12</v>
      </c>
      <c r="H74" s="151" t="s">
        <v>5</v>
      </c>
      <c r="I74" s="151" t="s">
        <v>6</v>
      </c>
      <c r="J74" s="151" t="s">
        <v>57</v>
      </c>
      <c r="K74" s="151" t="s">
        <v>58</v>
      </c>
      <c r="L74" s="151" t="s">
        <v>7</v>
      </c>
      <c r="M74" s="152" t="s">
        <v>61</v>
      </c>
      <c r="N74" s="153" t="s">
        <v>8</v>
      </c>
    </row>
    <row r="75" spans="1:14" x14ac:dyDescent="0.25">
      <c r="A75" s="150"/>
      <c r="B75" s="53"/>
      <c r="C75" s="154"/>
      <c r="D75" s="28"/>
      <c r="E75" s="155"/>
      <c r="F75" s="1"/>
      <c r="G75" s="1"/>
      <c r="H75" s="1"/>
      <c r="I75" s="156"/>
      <c r="J75" s="157"/>
      <c r="K75" s="1"/>
      <c r="L75" s="1"/>
      <c r="M75" s="73"/>
      <c r="N75" s="158"/>
    </row>
    <row r="76" spans="1:14" x14ac:dyDescent="0.25">
      <c r="A76" s="159">
        <v>1</v>
      </c>
      <c r="B76" s="3" t="s">
        <v>168</v>
      </c>
      <c r="C76" s="54">
        <f>N52</f>
        <v>31163408.75957875</v>
      </c>
      <c r="D76" s="29">
        <v>0</v>
      </c>
      <c r="E76" s="155"/>
      <c r="F76" s="2"/>
      <c r="G76" s="2"/>
      <c r="H76" s="160">
        <f t="shared" ref="H76:H94" si="15">SUM(D76+G76)/2</f>
        <v>0</v>
      </c>
      <c r="I76" s="160">
        <f>C76+H76</f>
        <v>31163408.75957875</v>
      </c>
      <c r="J76" s="161">
        <v>0.04</v>
      </c>
      <c r="K76" s="2"/>
      <c r="L76" s="2"/>
      <c r="M76" s="39">
        <f t="shared" ref="M76:M94" si="16">(I76*J76)</f>
        <v>1246536.3503831499</v>
      </c>
      <c r="N76" s="100">
        <f t="shared" ref="N76:N93" si="17">H76+I76-M76</f>
        <v>29916872.409195598</v>
      </c>
    </row>
    <row r="77" spans="1:14" x14ac:dyDescent="0.25">
      <c r="A77" s="159">
        <v>1</v>
      </c>
      <c r="B77" s="3" t="s">
        <v>169</v>
      </c>
      <c r="C77" s="54">
        <f t="shared" ref="C77:C94" si="18">N53</f>
        <v>0</v>
      </c>
      <c r="D77" s="29">
        <v>0</v>
      </c>
      <c r="E77" s="155">
        <v>0</v>
      </c>
      <c r="F77" s="2" t="s">
        <v>0</v>
      </c>
      <c r="G77" s="2"/>
      <c r="H77" s="160">
        <f t="shared" si="15"/>
        <v>0</v>
      </c>
      <c r="I77" s="160">
        <f>E77</f>
        <v>0</v>
      </c>
      <c r="J77" s="161">
        <f>J76*1.5</f>
        <v>0.06</v>
      </c>
      <c r="K77" s="2"/>
      <c r="L77" s="2"/>
      <c r="M77" s="39">
        <f t="shared" si="16"/>
        <v>0</v>
      </c>
      <c r="N77" s="100">
        <f t="shared" si="17"/>
        <v>0</v>
      </c>
    </row>
    <row r="78" spans="1:14" x14ac:dyDescent="0.25">
      <c r="A78" s="162">
        <v>2</v>
      </c>
      <c r="B78" s="3" t="s">
        <v>170</v>
      </c>
      <c r="C78" s="54">
        <f t="shared" si="18"/>
        <v>4376201.5227872841</v>
      </c>
      <c r="D78" s="29">
        <v>0</v>
      </c>
      <c r="E78" s="155">
        <v>0</v>
      </c>
      <c r="F78" s="2"/>
      <c r="G78" s="2"/>
      <c r="H78" s="160">
        <f t="shared" si="15"/>
        <v>0</v>
      </c>
      <c r="I78" s="160">
        <f>C78+H78</f>
        <v>4376201.5227872841</v>
      </c>
      <c r="J78" s="161">
        <v>0.06</v>
      </c>
      <c r="K78" s="2"/>
      <c r="L78" s="2"/>
      <c r="M78" s="39">
        <f t="shared" si="16"/>
        <v>262572.09136723704</v>
      </c>
      <c r="N78" s="100">
        <f t="shared" si="17"/>
        <v>4113629.4314200468</v>
      </c>
    </row>
    <row r="79" spans="1:14" x14ac:dyDescent="0.25">
      <c r="A79" s="164">
        <v>8</v>
      </c>
      <c r="B79" s="56" t="s">
        <v>171</v>
      </c>
      <c r="C79" s="54">
        <f t="shared" si="18"/>
        <v>2215517.0932717207</v>
      </c>
      <c r="D79" s="99">
        <v>92730.89</v>
      </c>
      <c r="E79" s="29">
        <v>0</v>
      </c>
      <c r="F79" s="2"/>
      <c r="G79" s="2"/>
      <c r="H79" s="160">
        <f t="shared" si="15"/>
        <v>46365.445</v>
      </c>
      <c r="I79" s="160">
        <f>C79+H79</f>
        <v>2261882.5382717205</v>
      </c>
      <c r="J79" s="161">
        <v>0.2</v>
      </c>
      <c r="K79" s="2"/>
      <c r="L79" s="2"/>
      <c r="M79" s="39">
        <f t="shared" si="16"/>
        <v>452376.50765434414</v>
      </c>
      <c r="N79" s="100">
        <f t="shared" si="17"/>
        <v>1855871.4756173762</v>
      </c>
    </row>
    <row r="80" spans="1:14" x14ac:dyDescent="0.25">
      <c r="A80" s="164">
        <v>8</v>
      </c>
      <c r="B80" s="56" t="s">
        <v>62</v>
      </c>
      <c r="C80" s="54">
        <f t="shared" si="18"/>
        <v>0</v>
      </c>
      <c r="D80" s="29">
        <v>0</v>
      </c>
      <c r="E80" s="155"/>
      <c r="F80" s="2"/>
      <c r="G80" s="2"/>
      <c r="H80" s="160">
        <f t="shared" si="15"/>
        <v>0</v>
      </c>
      <c r="I80" s="160">
        <f>E80</f>
        <v>0</v>
      </c>
      <c r="J80" s="161">
        <f>J79*1.5</f>
        <v>0.30000000000000004</v>
      </c>
      <c r="K80" s="2"/>
      <c r="L80" s="2"/>
      <c r="M80" s="39">
        <f t="shared" si="16"/>
        <v>0</v>
      </c>
      <c r="N80" s="100">
        <f t="shared" si="17"/>
        <v>0</v>
      </c>
    </row>
    <row r="81" spans="1:14" x14ac:dyDescent="0.25">
      <c r="A81" s="159">
        <v>10</v>
      </c>
      <c r="B81" s="3" t="s">
        <v>172</v>
      </c>
      <c r="C81" s="54">
        <f t="shared" si="18"/>
        <v>1873.3623043723028</v>
      </c>
      <c r="D81" s="29">
        <v>0</v>
      </c>
      <c r="E81" s="155"/>
      <c r="F81" s="2"/>
      <c r="G81" s="2">
        <v>0</v>
      </c>
      <c r="H81" s="160">
        <f t="shared" si="15"/>
        <v>0</v>
      </c>
      <c r="I81" s="160">
        <f>C81+H81</f>
        <v>1873.3623043723028</v>
      </c>
      <c r="J81" s="161">
        <v>0.3</v>
      </c>
      <c r="K81" s="2"/>
      <c r="L81" s="2"/>
      <c r="M81" s="39">
        <f t="shared" si="16"/>
        <v>562.00869131169077</v>
      </c>
      <c r="N81" s="100">
        <f t="shared" si="17"/>
        <v>1311.3536130606121</v>
      </c>
    </row>
    <row r="82" spans="1:14" x14ac:dyDescent="0.25">
      <c r="A82" s="164">
        <v>12</v>
      </c>
      <c r="B82" s="57" t="s">
        <v>173</v>
      </c>
      <c r="C82" s="54">
        <f t="shared" si="18"/>
        <v>27563.295271157818</v>
      </c>
      <c r="D82" s="29">
        <v>0</v>
      </c>
      <c r="E82" s="155"/>
      <c r="F82" s="2"/>
      <c r="G82" s="2"/>
      <c r="H82" s="160">
        <f t="shared" si="15"/>
        <v>0</v>
      </c>
      <c r="I82" s="160">
        <f>C82+H82</f>
        <v>27563.295271157818</v>
      </c>
      <c r="J82" s="161">
        <v>1</v>
      </c>
      <c r="K82" s="2"/>
      <c r="L82" s="2"/>
      <c r="M82" s="39">
        <f t="shared" si="16"/>
        <v>27563.295271157818</v>
      </c>
      <c r="N82" s="100">
        <f t="shared" si="17"/>
        <v>0</v>
      </c>
    </row>
    <row r="83" spans="1:14" x14ac:dyDescent="0.25">
      <c r="A83" s="164">
        <v>12</v>
      </c>
      <c r="B83" s="3" t="s">
        <v>174</v>
      </c>
      <c r="C83" s="54">
        <f t="shared" si="18"/>
        <v>0</v>
      </c>
      <c r="D83" s="29">
        <v>0</v>
      </c>
      <c r="E83" s="155"/>
      <c r="F83" s="2"/>
      <c r="G83" s="2"/>
      <c r="H83" s="160">
        <f t="shared" si="15"/>
        <v>0</v>
      </c>
      <c r="I83" s="160">
        <f>E83</f>
        <v>0</v>
      </c>
      <c r="J83" s="161">
        <f>J82</f>
        <v>1</v>
      </c>
      <c r="K83" s="2"/>
      <c r="L83" s="2"/>
      <c r="M83" s="39">
        <f t="shared" si="16"/>
        <v>0</v>
      </c>
      <c r="N83" s="100">
        <f t="shared" si="17"/>
        <v>0</v>
      </c>
    </row>
    <row r="84" spans="1:14" x14ac:dyDescent="0.25">
      <c r="A84" s="59">
        <v>14.1</v>
      </c>
      <c r="B84" s="166" t="s">
        <v>175</v>
      </c>
      <c r="C84" s="54">
        <f t="shared" si="18"/>
        <v>395310.27783080499</v>
      </c>
      <c r="D84" s="29">
        <v>0</v>
      </c>
      <c r="E84" s="155"/>
      <c r="F84" s="2"/>
      <c r="G84" s="2"/>
      <c r="H84" s="160">
        <f t="shared" si="15"/>
        <v>0</v>
      </c>
      <c r="I84" s="160">
        <f>C84+H84</f>
        <v>395310.27783080499</v>
      </c>
      <c r="J84" s="168">
        <v>7.0000000000000007E-2</v>
      </c>
      <c r="K84" s="2"/>
      <c r="L84" s="2"/>
      <c r="M84" s="39">
        <f t="shared" si="16"/>
        <v>27671.719448156353</v>
      </c>
      <c r="N84" s="100">
        <f t="shared" si="17"/>
        <v>367638.55838264863</v>
      </c>
    </row>
    <row r="85" spans="1:14" x14ac:dyDescent="0.25">
      <c r="A85" s="59">
        <v>14.1</v>
      </c>
      <c r="B85" s="169" t="s">
        <v>176</v>
      </c>
      <c r="C85" s="54">
        <f t="shared" si="18"/>
        <v>601449.54043347726</v>
      </c>
      <c r="D85" s="29">
        <v>0</v>
      </c>
      <c r="E85" s="155"/>
      <c r="F85" s="2"/>
      <c r="G85" s="2"/>
      <c r="H85" s="160">
        <f t="shared" si="15"/>
        <v>0</v>
      </c>
      <c r="I85" s="160">
        <f>C85+H85</f>
        <v>601449.54043347726</v>
      </c>
      <c r="J85" s="168">
        <v>0.05</v>
      </c>
      <c r="K85" s="2"/>
      <c r="L85" s="2"/>
      <c r="M85" s="39">
        <f t="shared" si="16"/>
        <v>30072.477021673865</v>
      </c>
      <c r="N85" s="100">
        <f t="shared" si="17"/>
        <v>571377.06341180345</v>
      </c>
    </row>
    <row r="86" spans="1:14" x14ac:dyDescent="0.25">
      <c r="A86" s="59">
        <v>14.1</v>
      </c>
      <c r="B86" s="169" t="s">
        <v>185</v>
      </c>
      <c r="C86" s="54">
        <f t="shared" si="18"/>
        <v>0</v>
      </c>
      <c r="D86" s="29">
        <v>0</v>
      </c>
      <c r="E86" s="155"/>
      <c r="F86" s="2"/>
      <c r="G86" s="2"/>
      <c r="H86" s="160">
        <f t="shared" si="15"/>
        <v>0</v>
      </c>
      <c r="I86" s="160">
        <f>E86</f>
        <v>0</v>
      </c>
      <c r="J86" s="161">
        <f>J85*1.5</f>
        <v>7.5000000000000011E-2</v>
      </c>
      <c r="K86" s="2"/>
      <c r="L86" s="2"/>
      <c r="M86" s="39">
        <f t="shared" si="16"/>
        <v>0</v>
      </c>
      <c r="N86" s="100">
        <f t="shared" si="17"/>
        <v>0</v>
      </c>
    </row>
    <row r="87" spans="1:14" x14ac:dyDescent="0.25">
      <c r="A87" s="164">
        <v>17</v>
      </c>
      <c r="B87" s="57" t="s">
        <v>177</v>
      </c>
      <c r="C87" s="54">
        <f t="shared" si="18"/>
        <v>245674.0593578082</v>
      </c>
      <c r="D87" s="99">
        <v>0</v>
      </c>
      <c r="E87" s="29"/>
      <c r="F87" s="2"/>
      <c r="G87" s="2"/>
      <c r="H87" s="160">
        <f t="shared" si="15"/>
        <v>0</v>
      </c>
      <c r="I87" s="160">
        <f>C87+H87</f>
        <v>245674.0593578082</v>
      </c>
      <c r="J87" s="161">
        <v>0.08</v>
      </c>
      <c r="K87" s="2"/>
      <c r="L87" s="2"/>
      <c r="M87" s="39">
        <f t="shared" si="16"/>
        <v>19653.924748624657</v>
      </c>
      <c r="N87" s="100">
        <f t="shared" si="17"/>
        <v>226020.13460918356</v>
      </c>
    </row>
    <row r="88" spans="1:14" x14ac:dyDescent="0.25">
      <c r="A88" s="59">
        <v>43.2</v>
      </c>
      <c r="B88" s="166" t="s">
        <v>178</v>
      </c>
      <c r="C88" s="54">
        <f t="shared" si="18"/>
        <v>7390.654907112028</v>
      </c>
      <c r="D88" s="29">
        <v>0</v>
      </c>
      <c r="E88" s="155"/>
      <c r="F88" s="2"/>
      <c r="G88" s="2"/>
      <c r="H88" s="160">
        <f t="shared" si="15"/>
        <v>0</v>
      </c>
      <c r="I88" s="160">
        <f>C88+H88</f>
        <v>7390.654907112028</v>
      </c>
      <c r="J88" s="168">
        <v>0.5</v>
      </c>
      <c r="K88" s="2"/>
      <c r="L88" s="2"/>
      <c r="M88" s="39">
        <f t="shared" si="16"/>
        <v>3695.327453556014</v>
      </c>
      <c r="N88" s="100">
        <f t="shared" si="17"/>
        <v>3695.327453556014</v>
      </c>
    </row>
    <row r="89" spans="1:14" x14ac:dyDescent="0.25">
      <c r="A89" s="159">
        <v>45</v>
      </c>
      <c r="B89" s="3" t="s">
        <v>179</v>
      </c>
      <c r="C89" s="54">
        <f t="shared" si="18"/>
        <v>100.18914665040346</v>
      </c>
      <c r="D89" s="29">
        <v>0</v>
      </c>
      <c r="E89" s="155"/>
      <c r="F89" s="2"/>
      <c r="G89" s="2"/>
      <c r="H89" s="160">
        <f t="shared" si="15"/>
        <v>0</v>
      </c>
      <c r="I89" s="160">
        <f>C89+H89</f>
        <v>100.18914665040346</v>
      </c>
      <c r="J89" s="161">
        <v>0.45</v>
      </c>
      <c r="K89" s="2"/>
      <c r="L89" s="170"/>
      <c r="M89" s="39">
        <f t="shared" si="16"/>
        <v>45.085115992681558</v>
      </c>
      <c r="N89" s="100">
        <f t="shared" si="17"/>
        <v>55.1040306577219</v>
      </c>
    </row>
    <row r="90" spans="1:14" x14ac:dyDescent="0.25">
      <c r="A90" s="164">
        <v>47</v>
      </c>
      <c r="B90" s="56" t="s">
        <v>180</v>
      </c>
      <c r="C90" s="54">
        <f t="shared" si="18"/>
        <v>50548711.396108598</v>
      </c>
      <c r="D90" s="29">
        <v>7677846.5999999987</v>
      </c>
      <c r="E90" s="155"/>
      <c r="F90" s="2"/>
      <c r="G90" s="2"/>
      <c r="H90" s="160">
        <f t="shared" si="15"/>
        <v>3838923.2999999993</v>
      </c>
      <c r="I90" s="160">
        <f>C90+H90</f>
        <v>54387634.696108595</v>
      </c>
      <c r="J90" s="161">
        <v>0.08</v>
      </c>
      <c r="K90" s="2"/>
      <c r="L90" s="2"/>
      <c r="M90" s="39">
        <f t="shared" si="16"/>
        <v>4351010.7756886873</v>
      </c>
      <c r="N90" s="100">
        <f t="shared" si="17"/>
        <v>53875547.220419906</v>
      </c>
    </row>
    <row r="91" spans="1:14" x14ac:dyDescent="0.25">
      <c r="A91" s="164">
        <v>47</v>
      </c>
      <c r="B91" s="56" t="s">
        <v>181</v>
      </c>
      <c r="C91" s="54">
        <f t="shared" si="18"/>
        <v>0</v>
      </c>
      <c r="D91" s="171">
        <v>0</v>
      </c>
      <c r="E91" s="155"/>
      <c r="F91" s="2"/>
      <c r="G91" s="2"/>
      <c r="H91" s="160">
        <f t="shared" si="15"/>
        <v>0</v>
      </c>
      <c r="I91" s="160">
        <f>E91</f>
        <v>0</v>
      </c>
      <c r="J91" s="161">
        <f>J90*1.5</f>
        <v>0.12</v>
      </c>
      <c r="K91" s="2"/>
      <c r="L91" s="2"/>
      <c r="M91" s="39">
        <f t="shared" si="16"/>
        <v>0</v>
      </c>
      <c r="N91" s="100">
        <f t="shared" si="17"/>
        <v>0</v>
      </c>
    </row>
    <row r="92" spans="1:14" x14ac:dyDescent="0.25">
      <c r="A92" s="159">
        <v>50</v>
      </c>
      <c r="B92" s="3" t="s">
        <v>179</v>
      </c>
      <c r="C92" s="54">
        <f t="shared" si="18"/>
        <v>48567.34554841432</v>
      </c>
      <c r="D92" s="99">
        <v>0</v>
      </c>
      <c r="E92" s="29"/>
      <c r="F92" s="2">
        <v>0</v>
      </c>
      <c r="G92" s="99">
        <v>0</v>
      </c>
      <c r="H92" s="160">
        <f t="shared" si="15"/>
        <v>0</v>
      </c>
      <c r="I92" s="160">
        <f>C92+H92</f>
        <v>48567.34554841432</v>
      </c>
      <c r="J92" s="168">
        <v>0.55000000000000004</v>
      </c>
      <c r="K92" s="2"/>
      <c r="L92" s="2"/>
      <c r="M92" s="39">
        <f t="shared" si="16"/>
        <v>26712.040051627879</v>
      </c>
      <c r="N92" s="100">
        <f t="shared" si="17"/>
        <v>21855.305496786441</v>
      </c>
    </row>
    <row r="93" spans="1:14" x14ac:dyDescent="0.25">
      <c r="A93" s="172">
        <v>50</v>
      </c>
      <c r="B93" s="3" t="s">
        <v>182</v>
      </c>
      <c r="C93" s="54">
        <f t="shared" si="18"/>
        <v>0</v>
      </c>
      <c r="D93" s="29">
        <v>0</v>
      </c>
      <c r="E93" s="155"/>
      <c r="F93" s="2"/>
      <c r="G93" s="2">
        <v>0</v>
      </c>
      <c r="H93" s="160">
        <f t="shared" si="15"/>
        <v>0</v>
      </c>
      <c r="I93" s="160">
        <f>E93</f>
        <v>0</v>
      </c>
      <c r="J93" s="161">
        <f>J92*1.5</f>
        <v>0.82500000000000007</v>
      </c>
      <c r="K93" s="2"/>
      <c r="L93" s="2"/>
      <c r="M93" s="39">
        <f t="shared" si="16"/>
        <v>0</v>
      </c>
      <c r="N93" s="100">
        <f t="shared" si="17"/>
        <v>0</v>
      </c>
    </row>
    <row r="94" spans="1:14" x14ac:dyDescent="0.25">
      <c r="A94" s="173">
        <v>95</v>
      </c>
      <c r="B94" s="60" t="s">
        <v>10</v>
      </c>
      <c r="C94" s="54">
        <f t="shared" si="18"/>
        <v>0</v>
      </c>
      <c r="D94" s="29">
        <v>0</v>
      </c>
      <c r="E94" s="155">
        <v>0</v>
      </c>
      <c r="F94" s="2">
        <v>0</v>
      </c>
      <c r="G94" s="2"/>
      <c r="H94" s="160">
        <f t="shared" si="15"/>
        <v>0</v>
      </c>
      <c r="I94" s="155">
        <f>C94+D94+F94</f>
        <v>0</v>
      </c>
      <c r="J94" s="168">
        <v>0</v>
      </c>
      <c r="K94" s="2"/>
      <c r="L94" s="2"/>
      <c r="M94" s="39">
        <f t="shared" si="16"/>
        <v>0</v>
      </c>
      <c r="N94" s="100">
        <f>I94-M94</f>
        <v>0</v>
      </c>
    </row>
    <row r="95" spans="1:14" ht="15.75" thickBot="1" x14ac:dyDescent="0.3">
      <c r="A95" s="61" t="s">
        <v>11</v>
      </c>
      <c r="B95" s="62"/>
      <c r="C95" s="63">
        <f t="shared" ref="C95:I95" si="19">SUM(C76:C94)</f>
        <v>89631767.496546149</v>
      </c>
      <c r="D95" s="64">
        <f t="shared" si="19"/>
        <v>7770577.4899999984</v>
      </c>
      <c r="E95" s="64">
        <f t="shared" si="19"/>
        <v>0</v>
      </c>
      <c r="F95" s="23">
        <f t="shared" si="19"/>
        <v>0</v>
      </c>
      <c r="G95" s="27">
        <f t="shared" si="19"/>
        <v>0</v>
      </c>
      <c r="H95" s="63">
        <f t="shared" si="19"/>
        <v>3885288.7449999992</v>
      </c>
      <c r="I95" s="63">
        <f t="shared" si="19"/>
        <v>93517056.241546154</v>
      </c>
      <c r="J95" s="63" t="s">
        <v>0</v>
      </c>
      <c r="K95" s="63">
        <f>SUM(K76:K94)</f>
        <v>0</v>
      </c>
      <c r="L95" s="63">
        <f>SUM(L76:L94)</f>
        <v>0</v>
      </c>
      <c r="M95" s="63">
        <f>SUM(M76:M94)</f>
        <v>6448471.6028955197</v>
      </c>
      <c r="N95" s="63">
        <f>SUM(N76:N94)</f>
        <v>90953873.383650631</v>
      </c>
    </row>
    <row r="96" spans="1:14" ht="15.75" thickTop="1" x14ac:dyDescent="0.25"/>
    <row r="97" spans="1:14" x14ac:dyDescent="0.25">
      <c r="A97">
        <v>2021</v>
      </c>
      <c r="B97" t="s">
        <v>142</v>
      </c>
      <c r="D97" s="175"/>
      <c r="E97" s="175"/>
    </row>
    <row r="98" spans="1:14" ht="30" x14ac:dyDescent="0.25">
      <c r="A98" s="150" t="s">
        <v>2</v>
      </c>
      <c r="B98" s="53" t="s">
        <v>3</v>
      </c>
      <c r="C98" s="53" t="s">
        <v>187</v>
      </c>
      <c r="D98" s="151" t="s">
        <v>102</v>
      </c>
      <c r="E98" s="151" t="s">
        <v>184</v>
      </c>
      <c r="F98" s="151" t="s">
        <v>4</v>
      </c>
      <c r="G98" s="151" t="s">
        <v>12</v>
      </c>
      <c r="H98" s="151" t="s">
        <v>5</v>
      </c>
      <c r="I98" s="151" t="s">
        <v>6</v>
      </c>
      <c r="J98" s="151" t="s">
        <v>57</v>
      </c>
      <c r="K98" s="151" t="s">
        <v>58</v>
      </c>
      <c r="L98" s="151" t="s">
        <v>7</v>
      </c>
      <c r="M98" s="152" t="s">
        <v>61</v>
      </c>
      <c r="N98" s="153" t="s">
        <v>8</v>
      </c>
    </row>
    <row r="99" spans="1:14" x14ac:dyDescent="0.25">
      <c r="A99" s="150"/>
      <c r="B99" s="53"/>
      <c r="C99" s="154"/>
      <c r="D99" s="28"/>
      <c r="E99" s="155"/>
      <c r="F99" s="1"/>
      <c r="G99" s="1"/>
      <c r="H99" s="1"/>
      <c r="I99" s="156"/>
      <c r="J99" s="157"/>
      <c r="K99" s="1"/>
      <c r="L99" s="1"/>
      <c r="M99" s="73"/>
      <c r="N99" s="158"/>
    </row>
    <row r="100" spans="1:14" x14ac:dyDescent="0.25">
      <c r="A100" s="159">
        <v>1</v>
      </c>
      <c r="B100" s="3" t="s">
        <v>168</v>
      </c>
      <c r="C100" s="54">
        <f>N76</f>
        <v>29916872.409195598</v>
      </c>
      <c r="D100" s="29">
        <f>'WRZ_CCA - w accelerated'!E101</f>
        <v>198995.51</v>
      </c>
      <c r="E100" s="155"/>
      <c r="F100" s="2"/>
      <c r="G100" s="2"/>
      <c r="H100" s="160">
        <f t="shared" ref="H100:H118" si="20">SUM(D100+G100)/2</f>
        <v>99497.755000000005</v>
      </c>
      <c r="I100" s="176">
        <f>C100+H100</f>
        <v>30016370.164195597</v>
      </c>
      <c r="J100" s="161">
        <v>0.04</v>
      </c>
      <c r="K100" s="2"/>
      <c r="L100" s="2"/>
      <c r="M100" s="39">
        <f t="shared" ref="M100:M118" si="21">(I100*J100)</f>
        <v>1200654.806567824</v>
      </c>
      <c r="N100" s="100">
        <f t="shared" ref="N100:N117" si="22">H100+I100-M100</f>
        <v>28915213.112627771</v>
      </c>
    </row>
    <row r="101" spans="1:14" x14ac:dyDescent="0.25">
      <c r="A101" s="159">
        <v>1</v>
      </c>
      <c r="B101" s="3" t="s">
        <v>169</v>
      </c>
      <c r="C101" s="54">
        <f t="shared" ref="C101:C118" si="23">N77</f>
        <v>0</v>
      </c>
      <c r="D101" s="29">
        <v>0</v>
      </c>
      <c r="E101" s="155">
        <v>0</v>
      </c>
      <c r="F101" s="2" t="s">
        <v>0</v>
      </c>
      <c r="G101" s="2"/>
      <c r="H101" s="160">
        <f t="shared" si="20"/>
        <v>0</v>
      </c>
      <c r="I101" s="160">
        <f>E101</f>
        <v>0</v>
      </c>
      <c r="J101" s="161">
        <f>J100*1.5</f>
        <v>0.06</v>
      </c>
      <c r="K101" s="2"/>
      <c r="L101" s="2"/>
      <c r="M101" s="39">
        <f t="shared" si="21"/>
        <v>0</v>
      </c>
      <c r="N101" s="100">
        <f t="shared" si="22"/>
        <v>0</v>
      </c>
    </row>
    <row r="102" spans="1:14" x14ac:dyDescent="0.25">
      <c r="A102" s="162">
        <v>2</v>
      </c>
      <c r="B102" s="3" t="s">
        <v>170</v>
      </c>
      <c r="C102" s="54">
        <f t="shared" si="23"/>
        <v>4113629.4314200468</v>
      </c>
      <c r="D102" s="29">
        <v>0</v>
      </c>
      <c r="E102" s="155">
        <v>0</v>
      </c>
      <c r="F102" s="2"/>
      <c r="G102" s="2"/>
      <c r="H102" s="160">
        <f t="shared" si="20"/>
        <v>0</v>
      </c>
      <c r="I102" s="160">
        <f>C102+H102</f>
        <v>4113629.4314200468</v>
      </c>
      <c r="J102" s="161">
        <v>0.06</v>
      </c>
      <c r="K102" s="2"/>
      <c r="L102" s="2"/>
      <c r="M102" s="39">
        <f t="shared" si="21"/>
        <v>246817.7658852028</v>
      </c>
      <c r="N102" s="100">
        <f t="shared" si="22"/>
        <v>3866811.6655348442</v>
      </c>
    </row>
    <row r="103" spans="1:14" x14ac:dyDescent="0.25">
      <c r="A103" s="164">
        <v>8</v>
      </c>
      <c r="B103" s="56" t="s">
        <v>171</v>
      </c>
      <c r="C103" s="54">
        <f t="shared" si="23"/>
        <v>1855871.4756173762</v>
      </c>
      <c r="D103" s="99">
        <f>'WRZ_CCA - w accelerated'!E104</f>
        <v>220922.32</v>
      </c>
      <c r="E103" s="29">
        <v>0</v>
      </c>
      <c r="F103" s="2"/>
      <c r="G103" s="2"/>
      <c r="H103" s="160">
        <f t="shared" si="20"/>
        <v>110461.16</v>
      </c>
      <c r="I103" s="160">
        <f>C103+H103</f>
        <v>1966332.6356173761</v>
      </c>
      <c r="J103" s="161">
        <v>0.2</v>
      </c>
      <c r="K103" s="2"/>
      <c r="L103" s="2"/>
      <c r="M103" s="39">
        <f t="shared" si="21"/>
        <v>393266.52712347521</v>
      </c>
      <c r="N103" s="100">
        <f t="shared" si="22"/>
        <v>1683527.2684939008</v>
      </c>
    </row>
    <row r="104" spans="1:14" x14ac:dyDescent="0.25">
      <c r="A104" s="164">
        <v>8</v>
      </c>
      <c r="B104" s="56" t="s">
        <v>62</v>
      </c>
      <c r="C104" s="54">
        <f t="shared" si="23"/>
        <v>0</v>
      </c>
      <c r="D104" s="29">
        <v>0</v>
      </c>
      <c r="E104" s="155"/>
      <c r="F104" s="2"/>
      <c r="G104" s="2"/>
      <c r="H104" s="160">
        <f t="shared" si="20"/>
        <v>0</v>
      </c>
      <c r="I104" s="160">
        <f>E104</f>
        <v>0</v>
      </c>
      <c r="J104" s="161">
        <f>J103*1.5</f>
        <v>0.30000000000000004</v>
      </c>
      <c r="K104" s="2"/>
      <c r="L104" s="2"/>
      <c r="M104" s="39">
        <f t="shared" si="21"/>
        <v>0</v>
      </c>
      <c r="N104" s="100">
        <f t="shared" si="22"/>
        <v>0</v>
      </c>
    </row>
    <row r="105" spans="1:14" x14ac:dyDescent="0.25">
      <c r="A105" s="159">
        <v>10</v>
      </c>
      <c r="B105" s="3" t="s">
        <v>172</v>
      </c>
      <c r="C105" s="54">
        <f t="shared" si="23"/>
        <v>1311.3536130606121</v>
      </c>
      <c r="D105" s="29">
        <f>'WRZ_CCA - w accelerated'!E106</f>
        <v>61039.76</v>
      </c>
      <c r="E105" s="155"/>
      <c r="F105" s="2"/>
      <c r="G105" s="2">
        <v>0</v>
      </c>
      <c r="H105" s="160">
        <f t="shared" si="20"/>
        <v>30519.88</v>
      </c>
      <c r="I105" s="160">
        <f>C105+H105</f>
        <v>31831.233613060613</v>
      </c>
      <c r="J105" s="161">
        <v>0.3</v>
      </c>
      <c r="K105" s="2"/>
      <c r="L105" s="2"/>
      <c r="M105" s="39">
        <f t="shared" si="21"/>
        <v>9549.3700839181838</v>
      </c>
      <c r="N105" s="100">
        <f t="shared" si="22"/>
        <v>52801.743529142434</v>
      </c>
    </row>
    <row r="106" spans="1:14" x14ac:dyDescent="0.25">
      <c r="A106" s="164">
        <v>12</v>
      </c>
      <c r="B106" s="57" t="s">
        <v>173</v>
      </c>
      <c r="C106" s="54">
        <f t="shared" si="23"/>
        <v>0</v>
      </c>
      <c r="D106" s="29">
        <v>0</v>
      </c>
      <c r="E106" s="155"/>
      <c r="F106" s="2"/>
      <c r="G106" s="2"/>
      <c r="H106" s="160">
        <f t="shared" si="20"/>
        <v>0</v>
      </c>
      <c r="I106" s="160">
        <f>C106+H106</f>
        <v>0</v>
      </c>
      <c r="J106" s="161">
        <v>1</v>
      </c>
      <c r="K106" s="2"/>
      <c r="L106" s="2"/>
      <c r="M106" s="39">
        <f t="shared" si="21"/>
        <v>0</v>
      </c>
      <c r="N106" s="100">
        <f t="shared" si="22"/>
        <v>0</v>
      </c>
    </row>
    <row r="107" spans="1:14" x14ac:dyDescent="0.25">
      <c r="A107" s="164">
        <v>12</v>
      </c>
      <c r="B107" s="3" t="s">
        <v>174</v>
      </c>
      <c r="C107" s="54">
        <f t="shared" si="23"/>
        <v>0</v>
      </c>
      <c r="D107" s="29">
        <v>0</v>
      </c>
      <c r="E107" s="155"/>
      <c r="F107" s="2"/>
      <c r="G107" s="2"/>
      <c r="H107" s="160">
        <f t="shared" si="20"/>
        <v>0</v>
      </c>
      <c r="I107" s="160">
        <f>E107</f>
        <v>0</v>
      </c>
      <c r="J107" s="161">
        <f>J106</f>
        <v>1</v>
      </c>
      <c r="K107" s="2"/>
      <c r="L107" s="2"/>
      <c r="M107" s="39">
        <f t="shared" si="21"/>
        <v>0</v>
      </c>
      <c r="N107" s="100">
        <f t="shared" si="22"/>
        <v>0</v>
      </c>
    </row>
    <row r="108" spans="1:14" x14ac:dyDescent="0.25">
      <c r="A108" s="59">
        <v>14.1</v>
      </c>
      <c r="B108" s="166" t="s">
        <v>175</v>
      </c>
      <c r="C108" s="54">
        <f t="shared" si="23"/>
        <v>367638.55838264863</v>
      </c>
      <c r="D108" s="29">
        <v>0</v>
      </c>
      <c r="E108" s="155"/>
      <c r="F108" s="2"/>
      <c r="G108" s="2"/>
      <c r="H108" s="160">
        <f t="shared" si="20"/>
        <v>0</v>
      </c>
      <c r="I108" s="160">
        <f>C108+H108</f>
        <v>367638.55838264863</v>
      </c>
      <c r="J108" s="168">
        <v>7.0000000000000007E-2</v>
      </c>
      <c r="K108" s="2"/>
      <c r="L108" s="2"/>
      <c r="M108" s="39">
        <f t="shared" si="21"/>
        <v>25734.699086785407</v>
      </c>
      <c r="N108" s="100">
        <f t="shared" si="22"/>
        <v>341903.85929586319</v>
      </c>
    </row>
    <row r="109" spans="1:14" x14ac:dyDescent="0.25">
      <c r="A109" s="59">
        <v>14.1</v>
      </c>
      <c r="B109" s="169" t="s">
        <v>176</v>
      </c>
      <c r="C109" s="54">
        <f t="shared" si="23"/>
        <v>571377.06341180345</v>
      </c>
      <c r="D109" s="29">
        <v>0</v>
      </c>
      <c r="E109" s="155"/>
      <c r="F109" s="2"/>
      <c r="G109" s="2"/>
      <c r="H109" s="160">
        <f t="shared" si="20"/>
        <v>0</v>
      </c>
      <c r="I109" s="160">
        <f>C109+H109</f>
        <v>571377.06341180345</v>
      </c>
      <c r="J109" s="168">
        <v>0.05</v>
      </c>
      <c r="K109" s="2"/>
      <c r="L109" s="2"/>
      <c r="M109" s="39">
        <f t="shared" si="21"/>
        <v>28568.853170590173</v>
      </c>
      <c r="N109" s="100">
        <f t="shared" si="22"/>
        <v>542808.21024121332</v>
      </c>
    </row>
    <row r="110" spans="1:14" x14ac:dyDescent="0.25">
      <c r="A110" s="59">
        <v>14.1</v>
      </c>
      <c r="B110" s="169" t="s">
        <v>185</v>
      </c>
      <c r="C110" s="54">
        <f t="shared" si="23"/>
        <v>0</v>
      </c>
      <c r="D110" s="29">
        <v>0</v>
      </c>
      <c r="E110" s="155"/>
      <c r="F110" s="2"/>
      <c r="G110" s="2"/>
      <c r="H110" s="160">
        <f t="shared" si="20"/>
        <v>0</v>
      </c>
      <c r="I110" s="160">
        <f>E110</f>
        <v>0</v>
      </c>
      <c r="J110" s="161">
        <f>J109*1.5</f>
        <v>7.5000000000000011E-2</v>
      </c>
      <c r="K110" s="2"/>
      <c r="L110" s="2"/>
      <c r="M110" s="39">
        <f t="shared" si="21"/>
        <v>0</v>
      </c>
      <c r="N110" s="100">
        <f t="shared" si="22"/>
        <v>0</v>
      </c>
    </row>
    <row r="111" spans="1:14" x14ac:dyDescent="0.25">
      <c r="A111" s="164">
        <v>17</v>
      </c>
      <c r="B111" s="57" t="s">
        <v>177</v>
      </c>
      <c r="C111" s="54">
        <f t="shared" si="23"/>
        <v>226020.13460918356</v>
      </c>
      <c r="D111" s="99">
        <v>0</v>
      </c>
      <c r="E111" s="29"/>
      <c r="F111" s="2"/>
      <c r="G111" s="2"/>
      <c r="H111" s="160">
        <f t="shared" si="20"/>
        <v>0</v>
      </c>
      <c r="I111" s="160">
        <f>C111+H111</f>
        <v>226020.13460918356</v>
      </c>
      <c r="J111" s="161">
        <v>0.08</v>
      </c>
      <c r="K111" s="2"/>
      <c r="L111" s="2"/>
      <c r="M111" s="39">
        <f t="shared" si="21"/>
        <v>18081.610768734685</v>
      </c>
      <c r="N111" s="100">
        <f t="shared" si="22"/>
        <v>207938.52384044888</v>
      </c>
    </row>
    <row r="112" spans="1:14" x14ac:dyDescent="0.25">
      <c r="A112" s="59">
        <v>43.2</v>
      </c>
      <c r="B112" s="166" t="s">
        <v>178</v>
      </c>
      <c r="C112" s="54">
        <f t="shared" si="23"/>
        <v>3695.327453556014</v>
      </c>
      <c r="D112" s="29">
        <v>0</v>
      </c>
      <c r="E112" s="155"/>
      <c r="F112" s="2"/>
      <c r="G112" s="2"/>
      <c r="H112" s="160">
        <f t="shared" si="20"/>
        <v>0</v>
      </c>
      <c r="I112" s="160">
        <f>C112+H112</f>
        <v>3695.327453556014</v>
      </c>
      <c r="J112" s="168">
        <v>0.5</v>
      </c>
      <c r="K112" s="2"/>
      <c r="L112" s="2"/>
      <c r="M112" s="39">
        <f t="shared" si="21"/>
        <v>1847.663726778007</v>
      </c>
      <c r="N112" s="100">
        <f t="shared" si="22"/>
        <v>1847.663726778007</v>
      </c>
    </row>
    <row r="113" spans="1:14" x14ac:dyDescent="0.25">
      <c r="A113" s="159">
        <v>45</v>
      </c>
      <c r="B113" s="3" t="s">
        <v>179</v>
      </c>
      <c r="C113" s="54">
        <f t="shared" si="23"/>
        <v>55.1040306577219</v>
      </c>
      <c r="D113" s="29">
        <v>0</v>
      </c>
      <c r="E113" s="155"/>
      <c r="F113" s="2"/>
      <c r="G113" s="2"/>
      <c r="H113" s="160">
        <f t="shared" si="20"/>
        <v>0</v>
      </c>
      <c r="I113" s="160">
        <f>C113+H113</f>
        <v>55.1040306577219</v>
      </c>
      <c r="J113" s="161">
        <v>0.45</v>
      </c>
      <c r="K113" s="2"/>
      <c r="L113" s="170"/>
      <c r="M113" s="39">
        <f t="shared" si="21"/>
        <v>24.796813795974856</v>
      </c>
      <c r="N113" s="100">
        <f t="shared" si="22"/>
        <v>30.307216861747044</v>
      </c>
    </row>
    <row r="114" spans="1:14" x14ac:dyDescent="0.25">
      <c r="A114" s="164">
        <v>47</v>
      </c>
      <c r="B114" s="56" t="s">
        <v>180</v>
      </c>
      <c r="C114" s="54">
        <f t="shared" si="23"/>
        <v>53875547.220419906</v>
      </c>
      <c r="D114" s="29">
        <f>'WRZ_CCA - w accelerated'!E116</f>
        <v>12964766.439999999</v>
      </c>
      <c r="E114" s="155"/>
      <c r="F114" s="2"/>
      <c r="G114" s="2"/>
      <c r="H114" s="160">
        <f t="shared" si="20"/>
        <v>6482383.2199999997</v>
      </c>
      <c r="I114" s="160">
        <f>C114+H114</f>
        <v>60357930.440419905</v>
      </c>
      <c r="J114" s="161">
        <v>0.08</v>
      </c>
      <c r="K114" s="2"/>
      <c r="L114" s="2"/>
      <c r="M114" s="39">
        <f t="shared" si="21"/>
        <v>4828634.4352335921</v>
      </c>
      <c r="N114" s="100">
        <f t="shared" si="22"/>
        <v>62011679.225186311</v>
      </c>
    </row>
    <row r="115" spans="1:14" x14ac:dyDescent="0.25">
      <c r="A115" s="164">
        <v>47</v>
      </c>
      <c r="B115" s="56" t="s">
        <v>181</v>
      </c>
      <c r="C115" s="54">
        <f t="shared" si="23"/>
        <v>0</v>
      </c>
      <c r="D115" s="171">
        <v>0</v>
      </c>
      <c r="E115" s="155"/>
      <c r="F115" s="2"/>
      <c r="G115" s="2"/>
      <c r="H115" s="160">
        <f t="shared" si="20"/>
        <v>0</v>
      </c>
      <c r="I115" s="160">
        <f>E115</f>
        <v>0</v>
      </c>
      <c r="J115" s="161">
        <f>J114*1.5</f>
        <v>0.12</v>
      </c>
      <c r="K115" s="2"/>
      <c r="L115" s="2"/>
      <c r="M115" s="39">
        <f t="shared" si="21"/>
        <v>0</v>
      </c>
      <c r="N115" s="100">
        <f t="shared" si="22"/>
        <v>0</v>
      </c>
    </row>
    <row r="116" spans="1:14" x14ac:dyDescent="0.25">
      <c r="A116" s="159">
        <v>50</v>
      </c>
      <c r="B116" s="3" t="s">
        <v>179</v>
      </c>
      <c r="C116" s="54">
        <f t="shared" si="23"/>
        <v>21855.305496786441</v>
      </c>
      <c r="D116" s="99">
        <v>0</v>
      </c>
      <c r="E116" s="29"/>
      <c r="F116" s="2">
        <v>0</v>
      </c>
      <c r="G116" s="99">
        <v>0</v>
      </c>
      <c r="H116" s="160">
        <f t="shared" si="20"/>
        <v>0</v>
      </c>
      <c r="I116" s="160">
        <f>C116+H116</f>
        <v>21855.305496786441</v>
      </c>
      <c r="J116" s="168">
        <v>0.55000000000000004</v>
      </c>
      <c r="K116" s="2"/>
      <c r="L116" s="2"/>
      <c r="M116" s="39">
        <f t="shared" si="21"/>
        <v>12020.418023232543</v>
      </c>
      <c r="N116" s="100">
        <f t="shared" si="22"/>
        <v>9834.8874735538975</v>
      </c>
    </row>
    <row r="117" spans="1:14" x14ac:dyDescent="0.25">
      <c r="A117" s="172">
        <v>50</v>
      </c>
      <c r="B117" s="3" t="s">
        <v>182</v>
      </c>
      <c r="C117" s="54">
        <f t="shared" si="23"/>
        <v>0</v>
      </c>
      <c r="D117" s="29">
        <v>0</v>
      </c>
      <c r="E117" s="155"/>
      <c r="F117" s="2"/>
      <c r="G117" s="2">
        <v>0</v>
      </c>
      <c r="H117" s="160">
        <f t="shared" si="20"/>
        <v>0</v>
      </c>
      <c r="I117" s="160">
        <f>E117</f>
        <v>0</v>
      </c>
      <c r="J117" s="161">
        <f>J116*1.5</f>
        <v>0.82500000000000007</v>
      </c>
      <c r="K117" s="2"/>
      <c r="L117" s="2"/>
      <c r="M117" s="39">
        <f t="shared" si="21"/>
        <v>0</v>
      </c>
      <c r="N117" s="100">
        <f t="shared" si="22"/>
        <v>0</v>
      </c>
    </row>
    <row r="118" spans="1:14" x14ac:dyDescent="0.25">
      <c r="A118" s="173">
        <v>95</v>
      </c>
      <c r="B118" s="60" t="s">
        <v>10</v>
      </c>
      <c r="C118" s="54">
        <f t="shared" si="23"/>
        <v>0</v>
      </c>
      <c r="D118" s="29">
        <v>0</v>
      </c>
      <c r="E118" s="155">
        <v>0</v>
      </c>
      <c r="F118" s="2">
        <v>0</v>
      </c>
      <c r="G118" s="2"/>
      <c r="H118" s="160">
        <f t="shared" si="20"/>
        <v>0</v>
      </c>
      <c r="I118" s="155">
        <f>C118+D118+F118</f>
        <v>0</v>
      </c>
      <c r="J118" s="168">
        <v>0</v>
      </c>
      <c r="K118" s="2"/>
      <c r="L118" s="2"/>
      <c r="M118" s="39">
        <f t="shared" si="21"/>
        <v>0</v>
      </c>
      <c r="N118" s="100">
        <f>I118-M118</f>
        <v>0</v>
      </c>
    </row>
    <row r="119" spans="1:14" ht="15.75" thickBot="1" x14ac:dyDescent="0.3">
      <c r="A119" s="61" t="s">
        <v>11</v>
      </c>
      <c r="B119" s="62"/>
      <c r="C119" s="63">
        <f t="shared" ref="C119:I119" si="24">SUM(C100:C118)</f>
        <v>90953873.383650631</v>
      </c>
      <c r="D119" s="64">
        <f t="shared" si="24"/>
        <v>13445724.029999999</v>
      </c>
      <c r="E119" s="64">
        <f t="shared" si="24"/>
        <v>0</v>
      </c>
      <c r="F119" s="23">
        <f t="shared" si="24"/>
        <v>0</v>
      </c>
      <c r="G119" s="27">
        <f t="shared" si="24"/>
        <v>0</v>
      </c>
      <c r="H119" s="63">
        <f t="shared" si="24"/>
        <v>6722862.0149999997</v>
      </c>
      <c r="I119" s="63">
        <f t="shared" si="24"/>
        <v>97676735.398650616</v>
      </c>
      <c r="J119" s="63" t="s">
        <v>0</v>
      </c>
      <c r="K119" s="63">
        <f>SUM(K100:K118)</f>
        <v>0</v>
      </c>
      <c r="L119" s="63">
        <f>SUM(L100:L118)</f>
        <v>0</v>
      </c>
      <c r="M119" s="63">
        <f>SUM(M100:M118)</f>
        <v>6765200.9464839287</v>
      </c>
      <c r="N119" s="63">
        <f>SUM(N100:N118)</f>
        <v>97634396.467166677</v>
      </c>
    </row>
    <row r="120" spans="1:14" ht="15.75" thickTop="1" x14ac:dyDescent="0.25"/>
    <row r="121" spans="1:14" x14ac:dyDescent="0.25">
      <c r="A121">
        <v>2022</v>
      </c>
      <c r="B121" t="s">
        <v>142</v>
      </c>
      <c r="D121" s="175"/>
      <c r="E121" s="175"/>
    </row>
    <row r="122" spans="1:14" ht="30" x14ac:dyDescent="0.25">
      <c r="A122" s="150" t="s">
        <v>2</v>
      </c>
      <c r="B122" s="53" t="s">
        <v>3</v>
      </c>
      <c r="C122" s="53" t="s">
        <v>190</v>
      </c>
      <c r="D122" s="151" t="s">
        <v>111</v>
      </c>
      <c r="E122" s="151" t="s">
        <v>184</v>
      </c>
      <c r="F122" s="151" t="s">
        <v>4</v>
      </c>
      <c r="G122" s="151" t="s">
        <v>12</v>
      </c>
      <c r="H122" s="151" t="s">
        <v>5</v>
      </c>
      <c r="I122" s="151" t="s">
        <v>6</v>
      </c>
      <c r="J122" s="151" t="s">
        <v>57</v>
      </c>
      <c r="K122" s="151" t="s">
        <v>58</v>
      </c>
      <c r="L122" s="151" t="s">
        <v>7</v>
      </c>
      <c r="M122" s="152" t="s">
        <v>61</v>
      </c>
      <c r="N122" s="153" t="s">
        <v>8</v>
      </c>
    </row>
    <row r="123" spans="1:14" x14ac:dyDescent="0.25">
      <c r="A123" s="150"/>
      <c r="B123" s="53"/>
      <c r="C123" s="154"/>
      <c r="D123" s="28"/>
      <c r="E123" s="155"/>
      <c r="F123" s="1"/>
      <c r="G123" s="1"/>
      <c r="H123" s="1"/>
      <c r="I123" s="156"/>
      <c r="J123" s="157"/>
      <c r="K123" s="1"/>
      <c r="L123" s="1"/>
      <c r="M123" s="73"/>
      <c r="N123" s="158"/>
    </row>
    <row r="124" spans="1:14" x14ac:dyDescent="0.25">
      <c r="A124" s="159">
        <v>1</v>
      </c>
      <c r="B124" s="3" t="s">
        <v>168</v>
      </c>
      <c r="C124" s="54">
        <f>N100</f>
        <v>28915213.112627771</v>
      </c>
      <c r="D124" s="29">
        <f>'WRZ_CCA - w accelerated'!E126</f>
        <v>1299182.4500000007</v>
      </c>
      <c r="E124" s="155"/>
      <c r="F124" s="2"/>
      <c r="G124" s="2"/>
      <c r="H124" s="160">
        <f t="shared" ref="H124:H142" si="25">SUM(D124+G124)/2</f>
        <v>649591.22500000033</v>
      </c>
      <c r="I124" s="160">
        <f>C124+H124</f>
        <v>29564804.337627772</v>
      </c>
      <c r="J124" s="161">
        <v>0.04</v>
      </c>
      <c r="K124" s="2"/>
      <c r="L124" s="2"/>
      <c r="M124" s="39">
        <f>(I124*J124)</f>
        <v>1182592.1735051109</v>
      </c>
      <c r="N124" s="100">
        <f t="shared" ref="N124:N141" si="26">H124+I124-M124</f>
        <v>29031803.389122661</v>
      </c>
    </row>
    <row r="125" spans="1:14" x14ac:dyDescent="0.25">
      <c r="A125" s="159">
        <v>1</v>
      </c>
      <c r="B125" s="3" t="s">
        <v>169</v>
      </c>
      <c r="C125" s="54">
        <f t="shared" ref="C125:C142" si="27">N101</f>
        <v>0</v>
      </c>
      <c r="D125" s="29">
        <v>0</v>
      </c>
      <c r="E125" s="155">
        <v>0</v>
      </c>
      <c r="F125" s="2" t="s">
        <v>0</v>
      </c>
      <c r="G125" s="2"/>
      <c r="H125" s="160">
        <f t="shared" si="25"/>
        <v>0</v>
      </c>
      <c r="I125" s="160">
        <f>E125</f>
        <v>0</v>
      </c>
      <c r="J125" s="161">
        <f>J124*1.5</f>
        <v>0.06</v>
      </c>
      <c r="K125" s="2"/>
      <c r="L125" s="2"/>
      <c r="M125" s="39">
        <f t="shared" ref="M125:M142" si="28">(I125*J125)</f>
        <v>0</v>
      </c>
      <c r="N125" s="100">
        <f t="shared" si="26"/>
        <v>0</v>
      </c>
    </row>
    <row r="126" spans="1:14" x14ac:dyDescent="0.25">
      <c r="A126" s="162">
        <v>2</v>
      </c>
      <c r="B126" s="3" t="s">
        <v>170</v>
      </c>
      <c r="C126" s="54">
        <f t="shared" si="27"/>
        <v>3866811.6655348442</v>
      </c>
      <c r="D126" s="29">
        <v>0</v>
      </c>
      <c r="E126" s="155">
        <v>0</v>
      </c>
      <c r="F126" s="2"/>
      <c r="G126" s="2"/>
      <c r="H126" s="160">
        <f t="shared" si="25"/>
        <v>0</v>
      </c>
      <c r="I126" s="160">
        <f>C126+H126</f>
        <v>3866811.6655348442</v>
      </c>
      <c r="J126" s="161">
        <v>0.06</v>
      </c>
      <c r="K126" s="2"/>
      <c r="L126" s="2"/>
      <c r="M126" s="39">
        <f t="shared" si="28"/>
        <v>232008.69993209065</v>
      </c>
      <c r="N126" s="100">
        <f t="shared" si="26"/>
        <v>3634802.9656027537</v>
      </c>
    </row>
    <row r="127" spans="1:14" x14ac:dyDescent="0.25">
      <c r="A127" s="164">
        <v>8</v>
      </c>
      <c r="B127" s="56" t="s">
        <v>171</v>
      </c>
      <c r="C127" s="54">
        <f t="shared" si="27"/>
        <v>1683527.2684939008</v>
      </c>
      <c r="D127" s="99">
        <f>'WRZ_CCA - w accelerated'!E129</f>
        <v>328488.09999999986</v>
      </c>
      <c r="E127" s="29">
        <v>0</v>
      </c>
      <c r="F127" s="2"/>
      <c r="G127" s="2"/>
      <c r="H127" s="160">
        <f t="shared" si="25"/>
        <v>164244.04999999993</v>
      </c>
      <c r="I127" s="176">
        <f>C127+H127</f>
        <v>1847771.3184939008</v>
      </c>
      <c r="J127" s="161">
        <v>0.2</v>
      </c>
      <c r="K127" s="2"/>
      <c r="L127" s="2"/>
      <c r="M127" s="39">
        <f>(I127*J127)</f>
        <v>369554.26369878021</v>
      </c>
      <c r="N127" s="100">
        <f t="shared" si="26"/>
        <v>1642461.1047951204</v>
      </c>
    </row>
    <row r="128" spans="1:14" x14ac:dyDescent="0.25">
      <c r="A128" s="164">
        <v>8</v>
      </c>
      <c r="B128" s="56" t="s">
        <v>62</v>
      </c>
      <c r="C128" s="54">
        <f t="shared" si="27"/>
        <v>0</v>
      </c>
      <c r="D128" s="29">
        <v>0</v>
      </c>
      <c r="E128" s="155"/>
      <c r="F128" s="2"/>
      <c r="G128" s="2"/>
      <c r="H128" s="160">
        <f t="shared" si="25"/>
        <v>0</v>
      </c>
      <c r="I128" s="160">
        <f>E128</f>
        <v>0</v>
      </c>
      <c r="J128" s="161">
        <f>J127*1.5</f>
        <v>0.30000000000000004</v>
      </c>
      <c r="K128" s="2"/>
      <c r="L128" s="2"/>
      <c r="M128" s="39">
        <f t="shared" si="28"/>
        <v>0</v>
      </c>
      <c r="N128" s="100">
        <f t="shared" si="26"/>
        <v>0</v>
      </c>
    </row>
    <row r="129" spans="1:14" x14ac:dyDescent="0.25">
      <c r="A129" s="159">
        <v>10</v>
      </c>
      <c r="B129" s="3" t="s">
        <v>172</v>
      </c>
      <c r="C129" s="54">
        <f t="shared" si="27"/>
        <v>52801.743529142434</v>
      </c>
      <c r="D129" s="29">
        <f>'WRZ_CCA - w accelerated'!E131</f>
        <v>678741.41</v>
      </c>
      <c r="E129" s="155"/>
      <c r="F129" s="2"/>
      <c r="G129" s="2">
        <v>0</v>
      </c>
      <c r="H129" s="160">
        <f t="shared" si="25"/>
        <v>339370.70500000002</v>
      </c>
      <c r="I129" s="160">
        <f>C129+H129</f>
        <v>392172.44852914242</v>
      </c>
      <c r="J129" s="161">
        <v>0.3</v>
      </c>
      <c r="K129" s="2"/>
      <c r="L129" s="2"/>
      <c r="M129" s="39">
        <f t="shared" si="28"/>
        <v>117651.73455874273</v>
      </c>
      <c r="N129" s="100">
        <f t="shared" si="26"/>
        <v>613891.41897039977</v>
      </c>
    </row>
    <row r="130" spans="1:14" x14ac:dyDescent="0.25">
      <c r="A130" s="164">
        <v>12</v>
      </c>
      <c r="B130" s="57" t="s">
        <v>173</v>
      </c>
      <c r="C130" s="54">
        <f t="shared" si="27"/>
        <v>0</v>
      </c>
      <c r="D130" s="29">
        <f>'WRZ_CCA - w accelerated'!E133</f>
        <v>655827.49</v>
      </c>
      <c r="E130" s="155"/>
      <c r="F130" s="2"/>
      <c r="G130" s="2"/>
      <c r="H130" s="160">
        <f t="shared" si="25"/>
        <v>327913.745</v>
      </c>
      <c r="I130" s="160">
        <f>C130+H130</f>
        <v>327913.745</v>
      </c>
      <c r="J130" s="161">
        <v>1</v>
      </c>
      <c r="K130" s="2"/>
      <c r="L130" s="2"/>
      <c r="M130" s="39">
        <f t="shared" si="28"/>
        <v>327913.745</v>
      </c>
      <c r="N130" s="100">
        <f t="shared" si="26"/>
        <v>327913.745</v>
      </c>
    </row>
    <row r="131" spans="1:14" x14ac:dyDescent="0.25">
      <c r="A131" s="164">
        <v>12</v>
      </c>
      <c r="B131" s="3" t="s">
        <v>174</v>
      </c>
      <c r="C131" s="54">
        <f t="shared" si="27"/>
        <v>0</v>
      </c>
      <c r="D131" s="29">
        <v>0</v>
      </c>
      <c r="E131" s="155"/>
      <c r="F131" s="2"/>
      <c r="G131" s="2"/>
      <c r="H131" s="160">
        <f t="shared" si="25"/>
        <v>0</v>
      </c>
      <c r="I131" s="160">
        <f>E131</f>
        <v>0</v>
      </c>
      <c r="J131" s="161">
        <f>J130</f>
        <v>1</v>
      </c>
      <c r="K131" s="2"/>
      <c r="L131" s="2"/>
      <c r="M131" s="39">
        <f t="shared" si="28"/>
        <v>0</v>
      </c>
      <c r="N131" s="100">
        <f t="shared" si="26"/>
        <v>0</v>
      </c>
    </row>
    <row r="132" spans="1:14" x14ac:dyDescent="0.25">
      <c r="A132" s="59">
        <v>14.1</v>
      </c>
      <c r="B132" s="166" t="s">
        <v>175</v>
      </c>
      <c r="C132" s="54">
        <f t="shared" si="27"/>
        <v>341903.85929586319</v>
      </c>
      <c r="D132" s="29">
        <v>0</v>
      </c>
      <c r="E132" s="155"/>
      <c r="F132" s="2"/>
      <c r="G132" s="2"/>
      <c r="H132" s="160">
        <f t="shared" si="25"/>
        <v>0</v>
      </c>
      <c r="I132" s="160">
        <f>C132+H132</f>
        <v>341903.85929586319</v>
      </c>
      <c r="J132" s="168">
        <v>7.0000000000000007E-2</v>
      </c>
      <c r="K132" s="2"/>
      <c r="L132" s="2"/>
      <c r="M132" s="39">
        <f t="shared" si="28"/>
        <v>23933.270150710425</v>
      </c>
      <c r="N132" s="100">
        <f t="shared" si="26"/>
        <v>317970.58914515277</v>
      </c>
    </row>
    <row r="133" spans="1:14" x14ac:dyDescent="0.25">
      <c r="A133" s="59">
        <v>14.1</v>
      </c>
      <c r="B133" s="169" t="s">
        <v>176</v>
      </c>
      <c r="C133" s="54">
        <f t="shared" si="27"/>
        <v>542808.21024121332</v>
      </c>
      <c r="D133" s="29">
        <v>0</v>
      </c>
      <c r="E133" s="155"/>
      <c r="F133" s="2"/>
      <c r="G133" s="2"/>
      <c r="H133" s="160">
        <f t="shared" si="25"/>
        <v>0</v>
      </c>
      <c r="I133" s="160">
        <f>C133+H133</f>
        <v>542808.21024121332</v>
      </c>
      <c r="J133" s="168">
        <v>0.05</v>
      </c>
      <c r="K133" s="2"/>
      <c r="L133" s="2"/>
      <c r="M133" s="39">
        <f t="shared" si="28"/>
        <v>27140.410512060669</v>
      </c>
      <c r="N133" s="100">
        <f t="shared" si="26"/>
        <v>515667.79972915264</v>
      </c>
    </row>
    <row r="134" spans="1:14" x14ac:dyDescent="0.25">
      <c r="A134" s="59">
        <v>14.1</v>
      </c>
      <c r="B134" s="169" t="s">
        <v>185</v>
      </c>
      <c r="C134" s="54">
        <f t="shared" si="27"/>
        <v>0</v>
      </c>
      <c r="D134" s="29">
        <v>0</v>
      </c>
      <c r="E134" s="155"/>
      <c r="F134" s="2"/>
      <c r="G134" s="2"/>
      <c r="H134" s="160">
        <f t="shared" si="25"/>
        <v>0</v>
      </c>
      <c r="I134" s="160">
        <f>E134</f>
        <v>0</v>
      </c>
      <c r="J134" s="161">
        <f>J133*1.5</f>
        <v>7.5000000000000011E-2</v>
      </c>
      <c r="K134" s="2"/>
      <c r="L134" s="2"/>
      <c r="M134" s="39">
        <f t="shared" si="28"/>
        <v>0</v>
      </c>
      <c r="N134" s="100">
        <f t="shared" si="26"/>
        <v>0</v>
      </c>
    </row>
    <row r="135" spans="1:14" x14ac:dyDescent="0.25">
      <c r="A135" s="164">
        <v>17</v>
      </c>
      <c r="B135" s="57" t="s">
        <v>177</v>
      </c>
      <c r="C135" s="54">
        <f t="shared" si="27"/>
        <v>207938.52384044888</v>
      </c>
      <c r="D135" s="99">
        <v>0</v>
      </c>
      <c r="E135" s="29"/>
      <c r="F135" s="2"/>
      <c r="G135" s="2"/>
      <c r="H135" s="160">
        <f t="shared" si="25"/>
        <v>0</v>
      </c>
      <c r="I135" s="160">
        <f>C135+H135</f>
        <v>207938.52384044888</v>
      </c>
      <c r="J135" s="161">
        <v>0.08</v>
      </c>
      <c r="K135" s="2"/>
      <c r="L135" s="2"/>
      <c r="M135" s="39">
        <f t="shared" si="28"/>
        <v>16635.081907235912</v>
      </c>
      <c r="N135" s="100">
        <f t="shared" si="26"/>
        <v>191303.44193321298</v>
      </c>
    </row>
    <row r="136" spans="1:14" x14ac:dyDescent="0.25">
      <c r="A136" s="59">
        <v>43.2</v>
      </c>
      <c r="B136" s="166" t="s">
        <v>178</v>
      </c>
      <c r="C136" s="54">
        <f t="shared" si="27"/>
        <v>1847.663726778007</v>
      </c>
      <c r="D136" s="29">
        <v>0</v>
      </c>
      <c r="E136" s="155"/>
      <c r="F136" s="2"/>
      <c r="G136" s="2"/>
      <c r="H136" s="160">
        <f t="shared" si="25"/>
        <v>0</v>
      </c>
      <c r="I136" s="160">
        <f>C136+H136</f>
        <v>1847.663726778007</v>
      </c>
      <c r="J136" s="168">
        <v>0.5</v>
      </c>
      <c r="K136" s="2"/>
      <c r="L136" s="2"/>
      <c r="M136" s="39">
        <f t="shared" si="28"/>
        <v>923.8318633890035</v>
      </c>
      <c r="N136" s="100">
        <f t="shared" si="26"/>
        <v>923.8318633890035</v>
      </c>
    </row>
    <row r="137" spans="1:14" x14ac:dyDescent="0.25">
      <c r="A137" s="159">
        <v>45</v>
      </c>
      <c r="B137" s="3" t="s">
        <v>179</v>
      </c>
      <c r="C137" s="54">
        <f t="shared" si="27"/>
        <v>30.307216861747044</v>
      </c>
      <c r="D137" s="29">
        <v>0</v>
      </c>
      <c r="E137" s="155"/>
      <c r="F137" s="2"/>
      <c r="G137" s="2"/>
      <c r="H137" s="160">
        <f t="shared" si="25"/>
        <v>0</v>
      </c>
      <c r="I137" s="160">
        <f>C137+H137</f>
        <v>30.307216861747044</v>
      </c>
      <c r="J137" s="161">
        <v>0.45</v>
      </c>
      <c r="K137" s="2"/>
      <c r="L137" s="170"/>
      <c r="M137" s="39">
        <f t="shared" si="28"/>
        <v>13.63824758778617</v>
      </c>
      <c r="N137" s="100">
        <f t="shared" si="26"/>
        <v>16.668969273960876</v>
      </c>
    </row>
    <row r="138" spans="1:14" x14ac:dyDescent="0.25">
      <c r="A138" s="164">
        <v>47</v>
      </c>
      <c r="B138" s="56" t="s">
        <v>180</v>
      </c>
      <c r="C138" s="54">
        <f t="shared" si="27"/>
        <v>62011679.225186311</v>
      </c>
      <c r="D138" s="29">
        <f>'WRZ_CCA - w accelerated'!E141</f>
        <v>9937175.759999983</v>
      </c>
      <c r="E138" s="155"/>
      <c r="F138" s="2"/>
      <c r="G138" s="2"/>
      <c r="H138" s="160">
        <f t="shared" si="25"/>
        <v>4968587.8799999915</v>
      </c>
      <c r="I138" s="160">
        <f>C138+H138</f>
        <v>66980267.105186298</v>
      </c>
      <c r="J138" s="161">
        <v>0.08</v>
      </c>
      <c r="K138" s="2"/>
      <c r="L138" s="2"/>
      <c r="M138" s="39">
        <f t="shared" si="28"/>
        <v>5358421.368414904</v>
      </c>
      <c r="N138" s="100">
        <f t="shared" si="26"/>
        <v>66590433.616771393</v>
      </c>
    </row>
    <row r="139" spans="1:14" x14ac:dyDescent="0.25">
      <c r="A139" s="164">
        <v>47</v>
      </c>
      <c r="B139" s="56" t="s">
        <v>181</v>
      </c>
      <c r="C139" s="54">
        <f t="shared" si="27"/>
        <v>0</v>
      </c>
      <c r="D139" s="171">
        <v>0</v>
      </c>
      <c r="E139" s="155"/>
      <c r="F139" s="2"/>
      <c r="G139" s="2"/>
      <c r="H139" s="160">
        <f t="shared" si="25"/>
        <v>0</v>
      </c>
      <c r="I139" s="160">
        <f>E139</f>
        <v>0</v>
      </c>
      <c r="J139" s="161">
        <f>J138*1.5</f>
        <v>0.12</v>
      </c>
      <c r="K139" s="2"/>
      <c r="L139" s="2"/>
      <c r="M139" s="39">
        <f t="shared" si="28"/>
        <v>0</v>
      </c>
      <c r="N139" s="100">
        <f t="shared" si="26"/>
        <v>0</v>
      </c>
    </row>
    <row r="140" spans="1:14" x14ac:dyDescent="0.25">
      <c r="A140" s="159">
        <v>50</v>
      </c>
      <c r="B140" s="3" t="s">
        <v>179</v>
      </c>
      <c r="C140" s="54">
        <f t="shared" si="27"/>
        <v>9834.8874735538975</v>
      </c>
      <c r="D140" s="99">
        <f>'WRZ_CCA - w accelerated'!E143</f>
        <v>706634.14</v>
      </c>
      <c r="E140" s="29"/>
      <c r="F140" s="2">
        <v>0</v>
      </c>
      <c r="G140" s="99">
        <v>0</v>
      </c>
      <c r="H140" s="160">
        <f t="shared" si="25"/>
        <v>353317.07</v>
      </c>
      <c r="I140" s="160">
        <f>C140+H140</f>
        <v>363151.95747355389</v>
      </c>
      <c r="J140" s="168">
        <v>0.55000000000000004</v>
      </c>
      <c r="K140" s="2"/>
      <c r="L140" s="2"/>
      <c r="M140" s="39">
        <f>(I140*J140)</f>
        <v>199733.57661045465</v>
      </c>
      <c r="N140" s="100">
        <f t="shared" si="26"/>
        <v>516735.45086309925</v>
      </c>
    </row>
    <row r="141" spans="1:14" x14ac:dyDescent="0.25">
      <c r="A141" s="172">
        <v>50</v>
      </c>
      <c r="B141" s="3" t="s">
        <v>182</v>
      </c>
      <c r="C141" s="54">
        <f t="shared" si="27"/>
        <v>0</v>
      </c>
      <c r="D141" s="29">
        <v>0</v>
      </c>
      <c r="E141" s="155"/>
      <c r="F141" s="2"/>
      <c r="G141" s="2">
        <v>0</v>
      </c>
      <c r="H141" s="160">
        <f t="shared" si="25"/>
        <v>0</v>
      </c>
      <c r="I141" s="160">
        <f>E141</f>
        <v>0</v>
      </c>
      <c r="J141" s="161">
        <f>J140*1.5</f>
        <v>0.82500000000000007</v>
      </c>
      <c r="K141" s="2"/>
      <c r="L141" s="2"/>
      <c r="M141" s="39">
        <f t="shared" si="28"/>
        <v>0</v>
      </c>
      <c r="N141" s="100">
        <f t="shared" si="26"/>
        <v>0</v>
      </c>
    </row>
    <row r="142" spans="1:14" x14ac:dyDescent="0.25">
      <c r="A142" s="173">
        <v>95</v>
      </c>
      <c r="B142" s="60" t="s">
        <v>10</v>
      </c>
      <c r="C142" s="54">
        <f t="shared" si="27"/>
        <v>0</v>
      </c>
      <c r="D142" s="29">
        <v>0</v>
      </c>
      <c r="E142" s="155">
        <v>0</v>
      </c>
      <c r="F142" s="2">
        <v>0</v>
      </c>
      <c r="G142" s="2"/>
      <c r="H142" s="160">
        <f t="shared" si="25"/>
        <v>0</v>
      </c>
      <c r="I142" s="155">
        <f>C142+D142+F142</f>
        <v>0</v>
      </c>
      <c r="J142" s="168">
        <v>0</v>
      </c>
      <c r="K142" s="2"/>
      <c r="L142" s="2"/>
      <c r="M142" s="39">
        <f t="shared" si="28"/>
        <v>0</v>
      </c>
      <c r="N142" s="100">
        <f>I142-M142</f>
        <v>0</v>
      </c>
    </row>
    <row r="143" spans="1:14" ht="15.75" thickBot="1" x14ac:dyDescent="0.3">
      <c r="A143" s="61" t="s">
        <v>11</v>
      </c>
      <c r="B143" s="62"/>
      <c r="C143" s="63">
        <f t="shared" ref="C143:I143" si="29">SUM(C124:C142)</f>
        <v>97634396.467166677</v>
      </c>
      <c r="D143" s="64">
        <f t="shared" si="29"/>
        <v>13606049.349999983</v>
      </c>
      <c r="E143" s="64">
        <f t="shared" si="29"/>
        <v>0</v>
      </c>
      <c r="F143" s="23">
        <f t="shared" si="29"/>
        <v>0</v>
      </c>
      <c r="G143" s="27">
        <f t="shared" si="29"/>
        <v>0</v>
      </c>
      <c r="H143" s="63">
        <f t="shared" si="29"/>
        <v>6803024.6749999914</v>
      </c>
      <c r="I143" s="63">
        <f t="shared" si="29"/>
        <v>104437421.14216667</v>
      </c>
      <c r="J143" s="63" t="s">
        <v>0</v>
      </c>
      <c r="K143" s="63">
        <f>SUM(K124:K142)</f>
        <v>0</v>
      </c>
      <c r="L143" s="63">
        <f>SUM(L124:L142)</f>
        <v>0</v>
      </c>
      <c r="M143" s="63">
        <f>SUM(M124:M142)</f>
        <v>7856521.7944010673</v>
      </c>
      <c r="N143" s="63">
        <f>SUM(N124:N142)</f>
        <v>103383924.02276561</v>
      </c>
    </row>
    <row r="144" spans="1:14" ht="15.75" thickTop="1" x14ac:dyDescent="0.25"/>
    <row r="145" spans="1:14" x14ac:dyDescent="0.25">
      <c r="A145">
        <v>2023</v>
      </c>
      <c r="B145" t="s">
        <v>142</v>
      </c>
      <c r="D145" s="175"/>
      <c r="E145" s="175"/>
    </row>
    <row r="146" spans="1:14" ht="30" x14ac:dyDescent="0.25">
      <c r="A146" s="150" t="s">
        <v>2</v>
      </c>
      <c r="B146" s="53" t="s">
        <v>3</v>
      </c>
      <c r="C146" s="53" t="s">
        <v>191</v>
      </c>
      <c r="D146" s="151" t="s">
        <v>131</v>
      </c>
      <c r="E146" s="151" t="s">
        <v>184</v>
      </c>
      <c r="F146" s="151" t="s">
        <v>4</v>
      </c>
      <c r="G146" s="151" t="s">
        <v>12</v>
      </c>
      <c r="H146" s="151" t="s">
        <v>5</v>
      </c>
      <c r="I146" s="151" t="s">
        <v>6</v>
      </c>
      <c r="J146" s="151" t="s">
        <v>57</v>
      </c>
      <c r="K146" s="151" t="s">
        <v>58</v>
      </c>
      <c r="L146" s="151" t="s">
        <v>7</v>
      </c>
      <c r="M146" s="152" t="s">
        <v>61</v>
      </c>
      <c r="N146" s="153" t="s">
        <v>8</v>
      </c>
    </row>
    <row r="147" spans="1:14" x14ac:dyDescent="0.25">
      <c r="A147" s="150"/>
      <c r="B147" s="53"/>
      <c r="C147" s="154"/>
      <c r="D147" s="28"/>
      <c r="E147" s="155"/>
      <c r="F147" s="1"/>
      <c r="G147" s="1"/>
      <c r="H147" s="1"/>
      <c r="I147" s="156"/>
      <c r="J147" s="157"/>
      <c r="K147" s="1"/>
      <c r="L147" s="1"/>
      <c r="M147" s="73"/>
      <c r="N147" s="158"/>
    </row>
    <row r="148" spans="1:14" x14ac:dyDescent="0.25">
      <c r="A148" s="159">
        <v>1</v>
      </c>
      <c r="B148" s="3" t="s">
        <v>168</v>
      </c>
      <c r="C148" s="54">
        <f>N124</f>
        <v>29031803.389122661</v>
      </c>
      <c r="D148" s="29">
        <f>'WRZ_CCA - w accelerated'!E151</f>
        <v>113815.00000000006</v>
      </c>
      <c r="E148" s="155"/>
      <c r="F148" s="2"/>
      <c r="G148" s="2"/>
      <c r="H148" s="160">
        <f t="shared" ref="H148:H168" si="30">SUM(D148+G148)/2</f>
        <v>56907.500000000029</v>
      </c>
      <c r="I148" s="160">
        <f>C148+H148</f>
        <v>29088710.889122661</v>
      </c>
      <c r="J148" s="161">
        <v>0.04</v>
      </c>
      <c r="K148" s="2"/>
      <c r="L148" s="2"/>
      <c r="M148" s="39">
        <f t="shared" ref="M148:M168" si="31">(I148*J148)</f>
        <v>1163548.4355649066</v>
      </c>
      <c r="N148" s="100">
        <f t="shared" ref="N148:N167" si="32">H148+I148-M148</f>
        <v>27982069.953557756</v>
      </c>
    </row>
    <row r="149" spans="1:14" x14ac:dyDescent="0.25">
      <c r="A149" s="159">
        <v>1</v>
      </c>
      <c r="B149" s="3" t="s">
        <v>169</v>
      </c>
      <c r="C149" s="54">
        <f t="shared" ref="C149:C160" si="33">N125</f>
        <v>0</v>
      </c>
      <c r="D149" s="29">
        <v>0</v>
      </c>
      <c r="E149" s="155">
        <v>0</v>
      </c>
      <c r="F149" s="2" t="s">
        <v>0</v>
      </c>
      <c r="G149" s="2"/>
      <c r="H149" s="160">
        <f t="shared" si="30"/>
        <v>0</v>
      </c>
      <c r="I149" s="160">
        <f>E149</f>
        <v>0</v>
      </c>
      <c r="J149" s="161">
        <f>J148*1.5</f>
        <v>0.06</v>
      </c>
      <c r="K149" s="2"/>
      <c r="L149" s="2"/>
      <c r="M149" s="39">
        <f t="shared" si="31"/>
        <v>0</v>
      </c>
      <c r="N149" s="100">
        <f t="shared" si="32"/>
        <v>0</v>
      </c>
    </row>
    <row r="150" spans="1:14" x14ac:dyDescent="0.25">
      <c r="A150" s="162">
        <v>2</v>
      </c>
      <c r="B150" s="3" t="s">
        <v>170</v>
      </c>
      <c r="C150" s="54">
        <f t="shared" si="33"/>
        <v>3634802.9656027537</v>
      </c>
      <c r="D150" s="29">
        <v>0</v>
      </c>
      <c r="E150" s="155">
        <v>0</v>
      </c>
      <c r="F150" s="2"/>
      <c r="G150" s="2"/>
      <c r="H150" s="160">
        <f t="shared" si="30"/>
        <v>0</v>
      </c>
      <c r="I150" s="160">
        <f>C150+H150</f>
        <v>3634802.9656027537</v>
      </c>
      <c r="J150" s="161">
        <v>0.06</v>
      </c>
      <c r="K150" s="2"/>
      <c r="L150" s="2"/>
      <c r="M150" s="39">
        <f t="shared" si="31"/>
        <v>218088.17793616522</v>
      </c>
      <c r="N150" s="100">
        <f t="shared" si="32"/>
        <v>3416714.7876665886</v>
      </c>
    </row>
    <row r="151" spans="1:14" x14ac:dyDescent="0.25">
      <c r="A151" s="164">
        <v>8</v>
      </c>
      <c r="B151" s="56" t="s">
        <v>171</v>
      </c>
      <c r="C151" s="54">
        <f t="shared" si="33"/>
        <v>1642461.1047951204</v>
      </c>
      <c r="D151" s="99">
        <f>'WRZ_CCA - w accelerated'!E154</f>
        <v>157617.06999999966</v>
      </c>
      <c r="E151" s="29">
        <v>0</v>
      </c>
      <c r="F151" s="2"/>
      <c r="G151" s="2"/>
      <c r="H151" s="160">
        <f t="shared" si="30"/>
        <v>78808.534999999829</v>
      </c>
      <c r="I151" s="160">
        <f>C151+H151</f>
        <v>1721269.6397951203</v>
      </c>
      <c r="J151" s="161">
        <v>0.2</v>
      </c>
      <c r="K151" s="2"/>
      <c r="L151" s="2"/>
      <c r="M151" s="39">
        <f t="shared" si="31"/>
        <v>344253.92795902409</v>
      </c>
      <c r="N151" s="100">
        <f t="shared" si="32"/>
        <v>1455824.246836096</v>
      </c>
    </row>
    <row r="152" spans="1:14" x14ac:dyDescent="0.25">
      <c r="A152" s="164">
        <v>8</v>
      </c>
      <c r="B152" s="56" t="s">
        <v>62</v>
      </c>
      <c r="C152" s="54">
        <f t="shared" si="33"/>
        <v>0</v>
      </c>
      <c r="D152" s="29">
        <v>0</v>
      </c>
      <c r="E152" s="155"/>
      <c r="F152" s="2"/>
      <c r="G152" s="2"/>
      <c r="H152" s="160">
        <f t="shared" si="30"/>
        <v>0</v>
      </c>
      <c r="I152" s="160">
        <f>E152</f>
        <v>0</v>
      </c>
      <c r="J152" s="161">
        <f>J151*1.5</f>
        <v>0.30000000000000004</v>
      </c>
      <c r="K152" s="2"/>
      <c r="L152" s="2"/>
      <c r="M152" s="39">
        <f t="shared" si="31"/>
        <v>0</v>
      </c>
      <c r="N152" s="100">
        <f t="shared" si="32"/>
        <v>0</v>
      </c>
    </row>
    <row r="153" spans="1:14" x14ac:dyDescent="0.25">
      <c r="A153" s="159">
        <v>10</v>
      </c>
      <c r="B153" s="3" t="s">
        <v>172</v>
      </c>
      <c r="C153" s="54">
        <f t="shared" si="33"/>
        <v>613891.41897039977</v>
      </c>
      <c r="D153" s="29">
        <f>'WRZ_CCA - w accelerated'!E156</f>
        <v>538420.51</v>
      </c>
      <c r="E153" s="155"/>
      <c r="F153" s="2"/>
      <c r="G153" s="2">
        <v>0</v>
      </c>
      <c r="H153" s="160">
        <f t="shared" si="30"/>
        <v>269210.255</v>
      </c>
      <c r="I153" s="160">
        <f>C153+H153</f>
        <v>883101.67397039977</v>
      </c>
      <c r="J153" s="161">
        <v>0.3</v>
      </c>
      <c r="K153" s="2"/>
      <c r="L153" s="2"/>
      <c r="M153" s="39">
        <f t="shared" si="31"/>
        <v>264930.50219111994</v>
      </c>
      <c r="N153" s="100">
        <f t="shared" si="32"/>
        <v>887381.42677927983</v>
      </c>
    </row>
    <row r="154" spans="1:14" x14ac:dyDescent="0.25">
      <c r="A154" s="164">
        <v>12</v>
      </c>
      <c r="B154" s="57" t="s">
        <v>173</v>
      </c>
      <c r="C154" s="54">
        <f t="shared" si="33"/>
        <v>327913.745</v>
      </c>
      <c r="D154" s="29">
        <f>'WRZ_CCA - w accelerated'!E158</f>
        <v>547135.40000000037</v>
      </c>
      <c r="E154" s="155"/>
      <c r="F154" s="2"/>
      <c r="G154" s="2"/>
      <c r="H154" s="160">
        <f t="shared" si="30"/>
        <v>273567.70000000019</v>
      </c>
      <c r="I154" s="160">
        <f>C154+H154</f>
        <v>601481.44500000018</v>
      </c>
      <c r="J154" s="161">
        <v>1</v>
      </c>
      <c r="K154" s="2"/>
      <c r="L154" s="2"/>
      <c r="M154" s="39">
        <f t="shared" si="31"/>
        <v>601481.44500000018</v>
      </c>
      <c r="N154" s="100">
        <f t="shared" si="32"/>
        <v>273567.70000000019</v>
      </c>
    </row>
    <row r="155" spans="1:14" x14ac:dyDescent="0.25">
      <c r="A155" s="164">
        <v>12</v>
      </c>
      <c r="B155" s="3" t="s">
        <v>174</v>
      </c>
      <c r="C155" s="54">
        <f t="shared" si="33"/>
        <v>0</v>
      </c>
      <c r="D155" s="29">
        <v>0</v>
      </c>
      <c r="E155" s="155"/>
      <c r="F155" s="2"/>
      <c r="G155" s="2"/>
      <c r="H155" s="160">
        <f t="shared" si="30"/>
        <v>0</v>
      </c>
      <c r="I155" s="160">
        <f>E155</f>
        <v>0</v>
      </c>
      <c r="J155" s="161">
        <f>J154</f>
        <v>1</v>
      </c>
      <c r="K155" s="2"/>
      <c r="L155" s="2"/>
      <c r="M155" s="39">
        <f t="shared" si="31"/>
        <v>0</v>
      </c>
      <c r="N155" s="100">
        <f t="shared" si="32"/>
        <v>0</v>
      </c>
    </row>
    <row r="156" spans="1:14" x14ac:dyDescent="0.25">
      <c r="A156" s="59">
        <v>14.1</v>
      </c>
      <c r="B156" s="166" t="s">
        <v>175</v>
      </c>
      <c r="C156" s="54">
        <f t="shared" si="33"/>
        <v>317970.58914515277</v>
      </c>
      <c r="D156" s="29">
        <v>0</v>
      </c>
      <c r="E156" s="155"/>
      <c r="F156" s="2"/>
      <c r="G156" s="2"/>
      <c r="H156" s="160">
        <f t="shared" si="30"/>
        <v>0</v>
      </c>
      <c r="I156" s="160">
        <f>C156+H156</f>
        <v>317970.58914515277</v>
      </c>
      <c r="J156" s="168">
        <v>7.0000000000000007E-2</v>
      </c>
      <c r="K156" s="2"/>
      <c r="L156" s="2"/>
      <c r="M156" s="39">
        <f t="shared" si="31"/>
        <v>22257.941240160697</v>
      </c>
      <c r="N156" s="100">
        <f t="shared" si="32"/>
        <v>295712.6479049921</v>
      </c>
    </row>
    <row r="157" spans="1:14" x14ac:dyDescent="0.25">
      <c r="A157" s="59">
        <v>14.1</v>
      </c>
      <c r="B157" s="169" t="s">
        <v>176</v>
      </c>
      <c r="C157" s="54">
        <f t="shared" si="33"/>
        <v>515667.79972915264</v>
      </c>
      <c r="D157" s="29">
        <v>0</v>
      </c>
      <c r="E157" s="155"/>
      <c r="F157" s="2"/>
      <c r="G157" s="2"/>
      <c r="H157" s="160">
        <f t="shared" si="30"/>
        <v>0</v>
      </c>
      <c r="I157" s="160">
        <f>C157+H157</f>
        <v>515667.79972915264</v>
      </c>
      <c r="J157" s="168">
        <v>0.05</v>
      </c>
      <c r="K157" s="2"/>
      <c r="L157" s="2"/>
      <c r="M157" s="39">
        <f t="shared" si="31"/>
        <v>25783.389986457634</v>
      </c>
      <c r="N157" s="100">
        <f t="shared" si="32"/>
        <v>489884.40974269499</v>
      </c>
    </row>
    <row r="158" spans="1:14" x14ac:dyDescent="0.25">
      <c r="A158" s="59">
        <v>14.1</v>
      </c>
      <c r="B158" s="169" t="s">
        <v>185</v>
      </c>
      <c r="C158" s="54">
        <f t="shared" si="33"/>
        <v>0</v>
      </c>
      <c r="D158" s="29">
        <v>0</v>
      </c>
      <c r="E158" s="155"/>
      <c r="F158" s="2"/>
      <c r="G158" s="2"/>
      <c r="H158" s="160">
        <f t="shared" si="30"/>
        <v>0</v>
      </c>
      <c r="I158" s="160">
        <f>E158</f>
        <v>0</v>
      </c>
      <c r="J158" s="161">
        <f>J157*1.5</f>
        <v>7.5000000000000011E-2</v>
      </c>
      <c r="K158" s="2"/>
      <c r="L158" s="2"/>
      <c r="M158" s="39">
        <f t="shared" si="31"/>
        <v>0</v>
      </c>
      <c r="N158" s="100">
        <f t="shared" si="32"/>
        <v>0</v>
      </c>
    </row>
    <row r="159" spans="1:14" x14ac:dyDescent="0.25">
      <c r="A159" s="164">
        <v>17</v>
      </c>
      <c r="B159" s="57" t="s">
        <v>177</v>
      </c>
      <c r="C159" s="54">
        <f t="shared" si="33"/>
        <v>191303.44193321298</v>
      </c>
      <c r="D159" s="99">
        <v>0</v>
      </c>
      <c r="E159" s="29"/>
      <c r="F159" s="2"/>
      <c r="G159" s="2"/>
      <c r="H159" s="160">
        <f t="shared" si="30"/>
        <v>0</v>
      </c>
      <c r="I159" s="160">
        <f>C159+H159</f>
        <v>191303.44193321298</v>
      </c>
      <c r="J159" s="161">
        <v>0.08</v>
      </c>
      <c r="K159" s="2"/>
      <c r="L159" s="2"/>
      <c r="M159" s="39">
        <f t="shared" si="31"/>
        <v>15304.275354657038</v>
      </c>
      <c r="N159" s="100">
        <f t="shared" si="32"/>
        <v>175999.16657855595</v>
      </c>
    </row>
    <row r="160" spans="1:14" x14ac:dyDescent="0.25">
      <c r="A160" s="59">
        <v>43.2</v>
      </c>
      <c r="B160" s="166" t="s">
        <v>178</v>
      </c>
      <c r="C160" s="54">
        <f t="shared" si="33"/>
        <v>923.8318633890035</v>
      </c>
      <c r="D160" s="29">
        <v>0</v>
      </c>
      <c r="E160" s="155"/>
      <c r="F160" s="2"/>
      <c r="G160" s="2"/>
      <c r="H160" s="160">
        <f t="shared" si="30"/>
        <v>0</v>
      </c>
      <c r="I160" s="160">
        <f>C160+H160</f>
        <v>923.8318633890035</v>
      </c>
      <c r="J160" s="168">
        <v>0.5</v>
      </c>
      <c r="K160" s="2"/>
      <c r="L160" s="2"/>
      <c r="M160" s="39">
        <f t="shared" si="31"/>
        <v>461.91593169450175</v>
      </c>
      <c r="N160" s="100">
        <f t="shared" si="32"/>
        <v>461.91593169450175</v>
      </c>
    </row>
    <row r="161" spans="1:14" x14ac:dyDescent="0.25">
      <c r="A161" s="59">
        <v>46</v>
      </c>
      <c r="B161" s="3" t="s">
        <v>134</v>
      </c>
      <c r="C161" s="54">
        <v>0</v>
      </c>
      <c r="D161" s="29">
        <f>'WRZ_CCA - w accelerated'!E166</f>
        <v>132011.56</v>
      </c>
      <c r="E161" s="155"/>
      <c r="F161" s="2"/>
      <c r="G161" s="2"/>
      <c r="H161" s="160">
        <f>SUM(D161+G161)/2</f>
        <v>66005.78</v>
      </c>
      <c r="I161" s="160">
        <f>C161+H161</f>
        <v>66005.78</v>
      </c>
      <c r="J161" s="168">
        <v>0.3</v>
      </c>
      <c r="K161" s="2"/>
      <c r="L161" s="2"/>
      <c r="M161" s="39">
        <f>(I161*J161)</f>
        <v>19801.734</v>
      </c>
      <c r="N161" s="100">
        <f>H161+I161-M161</f>
        <v>112209.826</v>
      </c>
    </row>
    <row r="162" spans="1:14" x14ac:dyDescent="0.25">
      <c r="A162" s="59">
        <v>46</v>
      </c>
      <c r="B162" s="3" t="s">
        <v>135</v>
      </c>
      <c r="C162" s="54">
        <v>0</v>
      </c>
      <c r="D162" s="29"/>
      <c r="E162" s="155"/>
      <c r="F162" s="2"/>
      <c r="G162" s="2"/>
      <c r="H162" s="160">
        <f>SUM(D162+G162)/2</f>
        <v>0</v>
      </c>
      <c r="I162" s="160">
        <f>E162</f>
        <v>0</v>
      </c>
      <c r="J162" s="168">
        <f>J161</f>
        <v>0.3</v>
      </c>
      <c r="K162" s="2"/>
      <c r="L162" s="2"/>
      <c r="M162" s="39">
        <f>(I162*J162)</f>
        <v>0</v>
      </c>
      <c r="N162" s="100">
        <f>H162+I162-M162</f>
        <v>0</v>
      </c>
    </row>
    <row r="163" spans="1:14" x14ac:dyDescent="0.25">
      <c r="A163" s="159">
        <v>45</v>
      </c>
      <c r="B163" s="3" t="s">
        <v>179</v>
      </c>
      <c r="C163" s="54">
        <f t="shared" ref="C163:C168" si="34">N137</f>
        <v>16.668969273960876</v>
      </c>
      <c r="D163" s="29">
        <v>0</v>
      </c>
      <c r="E163" s="155"/>
      <c r="F163" s="2"/>
      <c r="G163" s="2"/>
      <c r="H163" s="160">
        <f t="shared" si="30"/>
        <v>0</v>
      </c>
      <c r="I163" s="160">
        <f>C163+H163</f>
        <v>16.668969273960876</v>
      </c>
      <c r="J163" s="161">
        <v>0.45</v>
      </c>
      <c r="K163" s="2"/>
      <c r="L163" s="170"/>
      <c r="M163" s="39">
        <f t="shared" si="31"/>
        <v>7.5010361732823947</v>
      </c>
      <c r="N163" s="100">
        <f t="shared" si="32"/>
        <v>9.1679331006784821</v>
      </c>
    </row>
    <row r="164" spans="1:14" x14ac:dyDescent="0.25">
      <c r="A164" s="164">
        <v>47</v>
      </c>
      <c r="B164" s="56" t="s">
        <v>180</v>
      </c>
      <c r="C164" s="54">
        <f t="shared" si="34"/>
        <v>66590433.616771393</v>
      </c>
      <c r="D164" s="29">
        <f>'WRZ_CCA - w accelerated'!E168</f>
        <v>10010654.469999988</v>
      </c>
      <c r="E164" s="155"/>
      <c r="F164" s="2"/>
      <c r="G164" s="2"/>
      <c r="H164" s="160">
        <f t="shared" si="30"/>
        <v>5005327.2349999938</v>
      </c>
      <c r="I164" s="160">
        <f>C164+H164</f>
        <v>71595760.851771384</v>
      </c>
      <c r="J164" s="161">
        <v>0.08</v>
      </c>
      <c r="K164" s="2"/>
      <c r="L164" s="2"/>
      <c r="M164" s="39">
        <f t="shared" si="31"/>
        <v>5727660.8681417108</v>
      </c>
      <c r="N164" s="100">
        <f t="shared" si="32"/>
        <v>70873427.218629673</v>
      </c>
    </row>
    <row r="165" spans="1:14" x14ac:dyDescent="0.25">
      <c r="A165" s="164">
        <v>47</v>
      </c>
      <c r="B165" s="56" t="s">
        <v>181</v>
      </c>
      <c r="C165" s="54">
        <f t="shared" si="34"/>
        <v>0</v>
      </c>
      <c r="D165" s="171">
        <v>0</v>
      </c>
      <c r="E165" s="155"/>
      <c r="F165" s="2"/>
      <c r="G165" s="2"/>
      <c r="H165" s="160">
        <f t="shared" si="30"/>
        <v>0</v>
      </c>
      <c r="I165" s="160">
        <f>E165</f>
        <v>0</v>
      </c>
      <c r="J165" s="161">
        <f>J164*1.5</f>
        <v>0.12</v>
      </c>
      <c r="K165" s="2"/>
      <c r="L165" s="2"/>
      <c r="M165" s="39">
        <f t="shared" si="31"/>
        <v>0</v>
      </c>
      <c r="N165" s="100">
        <f t="shared" si="32"/>
        <v>0</v>
      </c>
    </row>
    <row r="166" spans="1:14" x14ac:dyDescent="0.25">
      <c r="A166" s="159">
        <v>50</v>
      </c>
      <c r="B166" s="3" t="s">
        <v>179</v>
      </c>
      <c r="C166" s="54">
        <f t="shared" si="34"/>
        <v>516735.45086309925</v>
      </c>
      <c r="D166" s="99">
        <f>'WRZ_CCA - w accelerated'!E170</f>
        <v>458849.89999999997</v>
      </c>
      <c r="E166" s="29"/>
      <c r="F166" s="2">
        <v>0</v>
      </c>
      <c r="G166" s="99">
        <v>0</v>
      </c>
      <c r="H166" s="160">
        <f t="shared" si="30"/>
        <v>229424.94999999998</v>
      </c>
      <c r="I166" s="160">
        <f>C166+H166</f>
        <v>746160.40086309926</v>
      </c>
      <c r="J166" s="168">
        <v>0.55000000000000004</v>
      </c>
      <c r="K166" s="2"/>
      <c r="L166" s="2"/>
      <c r="M166" s="39">
        <f t="shared" si="31"/>
        <v>410388.22047470463</v>
      </c>
      <c r="N166" s="100">
        <f t="shared" si="32"/>
        <v>565197.13038839458</v>
      </c>
    </row>
    <row r="167" spans="1:14" x14ac:dyDescent="0.25">
      <c r="A167" s="172">
        <v>50</v>
      </c>
      <c r="B167" s="3" t="s">
        <v>182</v>
      </c>
      <c r="C167" s="54">
        <f t="shared" si="34"/>
        <v>0</v>
      </c>
      <c r="D167" s="29">
        <v>0</v>
      </c>
      <c r="E167" s="155"/>
      <c r="F167" s="2"/>
      <c r="G167" s="2">
        <v>0</v>
      </c>
      <c r="H167" s="160">
        <f t="shared" si="30"/>
        <v>0</v>
      </c>
      <c r="I167" s="160">
        <f>E167</f>
        <v>0</v>
      </c>
      <c r="J167" s="161">
        <f>J166*1.5</f>
        <v>0.82500000000000007</v>
      </c>
      <c r="K167" s="2"/>
      <c r="L167" s="2"/>
      <c r="M167" s="39">
        <f t="shared" si="31"/>
        <v>0</v>
      </c>
      <c r="N167" s="100">
        <f t="shared" si="32"/>
        <v>0</v>
      </c>
    </row>
    <row r="168" spans="1:14" x14ac:dyDescent="0.25">
      <c r="A168" s="173">
        <v>95</v>
      </c>
      <c r="B168" s="60" t="s">
        <v>10</v>
      </c>
      <c r="C168" s="54">
        <f t="shared" si="34"/>
        <v>0</v>
      </c>
      <c r="D168" s="29">
        <v>0</v>
      </c>
      <c r="E168" s="155">
        <v>0</v>
      </c>
      <c r="F168" s="2">
        <v>0</v>
      </c>
      <c r="G168" s="2"/>
      <c r="H168" s="160">
        <f t="shared" si="30"/>
        <v>0</v>
      </c>
      <c r="I168" s="155">
        <f>C168+D168+F168</f>
        <v>0</v>
      </c>
      <c r="J168" s="168">
        <v>0</v>
      </c>
      <c r="K168" s="2"/>
      <c r="L168" s="2"/>
      <c r="M168" s="39">
        <f t="shared" si="31"/>
        <v>0</v>
      </c>
      <c r="N168" s="100">
        <f>I168-M168</f>
        <v>0</v>
      </c>
    </row>
    <row r="169" spans="1:14" ht="15.75" thickBot="1" x14ac:dyDescent="0.3">
      <c r="A169" s="61" t="s">
        <v>11</v>
      </c>
      <c r="B169" s="62"/>
      <c r="C169" s="63">
        <f t="shared" ref="C169:I169" si="35">SUM(C148:C168)</f>
        <v>103383924.02276561</v>
      </c>
      <c r="D169" s="64">
        <f t="shared" si="35"/>
        <v>11958503.909999987</v>
      </c>
      <c r="E169" s="64">
        <f t="shared" si="35"/>
        <v>0</v>
      </c>
      <c r="F169" s="23">
        <f t="shared" si="35"/>
        <v>0</v>
      </c>
      <c r="G169" s="27">
        <f t="shared" si="35"/>
        <v>0</v>
      </c>
      <c r="H169" s="63">
        <f t="shared" si="35"/>
        <v>5979251.9549999936</v>
      </c>
      <c r="I169" s="63">
        <f t="shared" si="35"/>
        <v>109363175.9777656</v>
      </c>
      <c r="J169" s="63" t="s">
        <v>0</v>
      </c>
      <c r="K169" s="63">
        <f>SUM(K148:K168)</f>
        <v>0</v>
      </c>
      <c r="L169" s="63">
        <f>SUM(L148:L168)</f>
        <v>0</v>
      </c>
      <c r="M169" s="63">
        <f>SUM(M148:M168)</f>
        <v>8813968.3348167762</v>
      </c>
      <c r="N169" s="63">
        <f>SUM(N148:N168)</f>
        <v>106528459.59794883</v>
      </c>
    </row>
    <row r="170" spans="1:14" ht="15.75" thickTop="1" x14ac:dyDescent="0.25"/>
    <row r="171" spans="1:14" x14ac:dyDescent="0.25">
      <c r="A171">
        <v>2024</v>
      </c>
      <c r="B171" t="s">
        <v>142</v>
      </c>
      <c r="D171" s="175"/>
      <c r="E171" s="175"/>
    </row>
    <row r="172" spans="1:14" ht="30" x14ac:dyDescent="0.25">
      <c r="A172" s="150" t="s">
        <v>2</v>
      </c>
      <c r="B172" s="53" t="s">
        <v>3</v>
      </c>
      <c r="C172" s="53" t="s">
        <v>193</v>
      </c>
      <c r="D172" s="151" t="s">
        <v>132</v>
      </c>
      <c r="E172" s="151" t="s">
        <v>184</v>
      </c>
      <c r="F172" s="151" t="s">
        <v>4</v>
      </c>
      <c r="G172" s="151" t="s">
        <v>12</v>
      </c>
      <c r="H172" s="151" t="s">
        <v>5</v>
      </c>
      <c r="I172" s="151" t="s">
        <v>6</v>
      </c>
      <c r="J172" s="151" t="s">
        <v>57</v>
      </c>
      <c r="K172" s="151" t="s">
        <v>58</v>
      </c>
      <c r="L172" s="151" t="s">
        <v>7</v>
      </c>
      <c r="M172" s="152" t="s">
        <v>61</v>
      </c>
      <c r="N172" s="153" t="s">
        <v>8</v>
      </c>
    </row>
    <row r="173" spans="1:14" x14ac:dyDescent="0.25">
      <c r="A173" s="150"/>
      <c r="B173" s="53"/>
      <c r="C173" s="154"/>
      <c r="D173" s="28"/>
      <c r="E173" s="155"/>
      <c r="F173" s="1"/>
      <c r="G173" s="1"/>
      <c r="H173" s="1"/>
      <c r="I173" s="156"/>
      <c r="J173" s="157"/>
      <c r="K173" s="1"/>
      <c r="L173" s="1"/>
      <c r="M173" s="73"/>
      <c r="N173" s="158"/>
    </row>
    <row r="174" spans="1:14" x14ac:dyDescent="0.25">
      <c r="A174" s="159">
        <v>1</v>
      </c>
      <c r="B174" s="3" t="s">
        <v>168</v>
      </c>
      <c r="C174" s="54">
        <f t="shared" ref="C174:C194" si="36">N148</f>
        <v>27982069.953557756</v>
      </c>
      <c r="D174" s="29">
        <f>'WRZ_CCA - w accelerated'!E178</f>
        <v>169360.35000000009</v>
      </c>
      <c r="E174" s="155"/>
      <c r="F174" s="2"/>
      <c r="G174" s="2"/>
      <c r="H174" s="160">
        <f t="shared" ref="H174:H194" si="37">SUM(D174+G174)/2</f>
        <v>84680.175000000047</v>
      </c>
      <c r="I174" s="176">
        <f>C174+H174</f>
        <v>28066750.128557757</v>
      </c>
      <c r="J174" s="161">
        <v>0.04</v>
      </c>
      <c r="K174" s="2"/>
      <c r="L174" s="2"/>
      <c r="M174" s="39">
        <f>(I174*J174)</f>
        <v>1122670.0051423104</v>
      </c>
      <c r="N174" s="100">
        <f t="shared" ref="N174:N193" si="38">H174+I174-M174</f>
        <v>27028760.298415449</v>
      </c>
    </row>
    <row r="175" spans="1:14" x14ac:dyDescent="0.25">
      <c r="A175" s="159">
        <v>1</v>
      </c>
      <c r="B175" s="3" t="s">
        <v>169</v>
      </c>
      <c r="C175" s="54">
        <f t="shared" si="36"/>
        <v>0</v>
      </c>
      <c r="D175" s="29">
        <v>0</v>
      </c>
      <c r="E175" s="155">
        <v>0</v>
      </c>
      <c r="F175" s="2" t="s">
        <v>0</v>
      </c>
      <c r="G175" s="2"/>
      <c r="H175" s="160">
        <f t="shared" si="37"/>
        <v>0</v>
      </c>
      <c r="I175" s="160">
        <f>E175</f>
        <v>0</v>
      </c>
      <c r="J175" s="161">
        <f>J174*1.5</f>
        <v>0.06</v>
      </c>
      <c r="K175" s="2"/>
      <c r="L175" s="2"/>
      <c r="M175" s="39">
        <f t="shared" ref="M175:M194" si="39">(I175*J175)</f>
        <v>0</v>
      </c>
      <c r="N175" s="100">
        <f t="shared" si="38"/>
        <v>0</v>
      </c>
    </row>
    <row r="176" spans="1:14" x14ac:dyDescent="0.25">
      <c r="A176" s="162">
        <v>2</v>
      </c>
      <c r="B176" s="3" t="s">
        <v>170</v>
      </c>
      <c r="C176" s="54">
        <f t="shared" si="36"/>
        <v>3416714.7876665886</v>
      </c>
      <c r="D176" s="29">
        <v>0</v>
      </c>
      <c r="E176" s="155">
        <v>0</v>
      </c>
      <c r="F176" s="2"/>
      <c r="G176" s="2"/>
      <c r="H176" s="160">
        <f t="shared" si="37"/>
        <v>0</v>
      </c>
      <c r="I176" s="160">
        <f>C176+H176</f>
        <v>3416714.7876665886</v>
      </c>
      <c r="J176" s="161">
        <v>0.06</v>
      </c>
      <c r="K176" s="2"/>
      <c r="L176" s="2"/>
      <c r="M176" s="39">
        <f t="shared" si="39"/>
        <v>205002.8872599953</v>
      </c>
      <c r="N176" s="100">
        <f t="shared" si="38"/>
        <v>3211711.9004065935</v>
      </c>
    </row>
    <row r="177" spans="1:14" x14ac:dyDescent="0.25">
      <c r="A177" s="164">
        <v>8</v>
      </c>
      <c r="B177" s="56" t="s">
        <v>171</v>
      </c>
      <c r="C177" s="54">
        <f t="shared" si="36"/>
        <v>1455824.246836096</v>
      </c>
      <c r="D177" s="99">
        <f>'WRZ_CCA - w accelerated'!E181</f>
        <v>150937.20000000042</v>
      </c>
      <c r="E177" s="29">
        <v>0</v>
      </c>
      <c r="F177" s="2"/>
      <c r="G177" s="2"/>
      <c r="H177" s="160">
        <f t="shared" si="37"/>
        <v>75468.60000000021</v>
      </c>
      <c r="I177" s="160">
        <f>C177+H177</f>
        <v>1531292.8468360961</v>
      </c>
      <c r="J177" s="161">
        <v>0.2</v>
      </c>
      <c r="K177" s="2"/>
      <c r="L177" s="2"/>
      <c r="M177" s="39">
        <f t="shared" si="39"/>
        <v>306258.56936721923</v>
      </c>
      <c r="N177" s="100">
        <f t="shared" si="38"/>
        <v>1300502.877468877</v>
      </c>
    </row>
    <row r="178" spans="1:14" x14ac:dyDescent="0.25">
      <c r="A178" s="164">
        <v>8</v>
      </c>
      <c r="B178" s="56" t="s">
        <v>62</v>
      </c>
      <c r="C178" s="54">
        <f t="shared" si="36"/>
        <v>0</v>
      </c>
      <c r="D178" s="29">
        <v>0</v>
      </c>
      <c r="E178" s="155"/>
      <c r="F178" s="2"/>
      <c r="G178" s="2"/>
      <c r="H178" s="160">
        <f t="shared" si="37"/>
        <v>0</v>
      </c>
      <c r="I178" s="160">
        <f>E178</f>
        <v>0</v>
      </c>
      <c r="J178" s="161">
        <f>J177*1.5</f>
        <v>0.30000000000000004</v>
      </c>
      <c r="K178" s="2"/>
      <c r="L178" s="2"/>
      <c r="M178" s="39">
        <f t="shared" si="39"/>
        <v>0</v>
      </c>
      <c r="N178" s="100">
        <f t="shared" si="38"/>
        <v>0</v>
      </c>
    </row>
    <row r="179" spans="1:14" x14ac:dyDescent="0.25">
      <c r="A179" s="159">
        <v>10</v>
      </c>
      <c r="B179" s="3" t="s">
        <v>172</v>
      </c>
      <c r="C179" s="54">
        <f t="shared" si="36"/>
        <v>887381.42677927983</v>
      </c>
      <c r="D179" s="29">
        <f>'WRZ_CCA - w accelerated'!E183</f>
        <v>211613.97999999998</v>
      </c>
      <c r="E179" s="155"/>
      <c r="F179" s="2"/>
      <c r="G179" s="2">
        <v>0</v>
      </c>
      <c r="H179" s="160">
        <f t="shared" si="37"/>
        <v>105806.98999999999</v>
      </c>
      <c r="I179" s="160">
        <f>C179+H179</f>
        <v>993188.41677927983</v>
      </c>
      <c r="J179" s="161">
        <v>0.3</v>
      </c>
      <c r="K179" s="2"/>
      <c r="L179" s="2"/>
      <c r="M179" s="39">
        <f t="shared" si="39"/>
        <v>297956.52503378392</v>
      </c>
      <c r="N179" s="100">
        <f t="shared" si="38"/>
        <v>801038.88174549607</v>
      </c>
    </row>
    <row r="180" spans="1:14" x14ac:dyDescent="0.25">
      <c r="A180" s="164">
        <v>12</v>
      </c>
      <c r="B180" s="57" t="s">
        <v>173</v>
      </c>
      <c r="C180" s="54">
        <f t="shared" si="36"/>
        <v>273567.70000000019</v>
      </c>
      <c r="D180" s="29">
        <f>'WRZ_CCA - w accelerated'!E185</f>
        <v>281555.75000000023</v>
      </c>
      <c r="E180" s="155"/>
      <c r="F180" s="2"/>
      <c r="G180" s="2"/>
      <c r="H180" s="160">
        <f t="shared" si="37"/>
        <v>140777.87500000012</v>
      </c>
      <c r="I180" s="160">
        <f>C180+H180</f>
        <v>414345.5750000003</v>
      </c>
      <c r="J180" s="161">
        <v>1</v>
      </c>
      <c r="K180" s="2"/>
      <c r="L180" s="2"/>
      <c r="M180" s="39">
        <f t="shared" si="39"/>
        <v>414345.5750000003</v>
      </c>
      <c r="N180" s="100">
        <f t="shared" si="38"/>
        <v>140777.87500000012</v>
      </c>
    </row>
    <row r="181" spans="1:14" x14ac:dyDescent="0.25">
      <c r="A181" s="164">
        <v>12</v>
      </c>
      <c r="B181" s="3" t="s">
        <v>174</v>
      </c>
      <c r="C181" s="54">
        <f t="shared" si="36"/>
        <v>0</v>
      </c>
      <c r="D181" s="29">
        <v>0</v>
      </c>
      <c r="E181" s="155"/>
      <c r="F181" s="2"/>
      <c r="G181" s="2"/>
      <c r="H181" s="160">
        <f t="shared" si="37"/>
        <v>0</v>
      </c>
      <c r="I181" s="160">
        <f>E181</f>
        <v>0</v>
      </c>
      <c r="J181" s="161">
        <f>J180</f>
        <v>1</v>
      </c>
      <c r="K181" s="2"/>
      <c r="L181" s="2"/>
      <c r="M181" s="39">
        <f t="shared" si="39"/>
        <v>0</v>
      </c>
      <c r="N181" s="100">
        <f t="shared" si="38"/>
        <v>0</v>
      </c>
    </row>
    <row r="182" spans="1:14" x14ac:dyDescent="0.25">
      <c r="A182" s="59">
        <v>14.1</v>
      </c>
      <c r="B182" s="166" t="s">
        <v>175</v>
      </c>
      <c r="C182" s="54">
        <f t="shared" si="36"/>
        <v>295712.6479049921</v>
      </c>
      <c r="D182" s="29">
        <v>0</v>
      </c>
      <c r="E182" s="155"/>
      <c r="F182" s="2"/>
      <c r="G182" s="2"/>
      <c r="H182" s="160">
        <f t="shared" si="37"/>
        <v>0</v>
      </c>
      <c r="I182" s="160">
        <f>C182+H182</f>
        <v>295712.6479049921</v>
      </c>
      <c r="J182" s="168">
        <v>7.0000000000000007E-2</v>
      </c>
      <c r="K182" s="2"/>
      <c r="L182" s="2"/>
      <c r="M182" s="39">
        <f t="shared" si="39"/>
        <v>20699.885353349448</v>
      </c>
      <c r="N182" s="100">
        <f t="shared" si="38"/>
        <v>275012.76255164266</v>
      </c>
    </row>
    <row r="183" spans="1:14" x14ac:dyDescent="0.25">
      <c r="A183" s="59">
        <v>14.1</v>
      </c>
      <c r="B183" s="169" t="s">
        <v>176</v>
      </c>
      <c r="C183" s="54">
        <f t="shared" si="36"/>
        <v>489884.40974269499</v>
      </c>
      <c r="D183" s="29">
        <v>0</v>
      </c>
      <c r="E183" s="155"/>
      <c r="F183" s="2"/>
      <c r="G183" s="2"/>
      <c r="H183" s="160">
        <f t="shared" si="37"/>
        <v>0</v>
      </c>
      <c r="I183" s="160">
        <f>C183+H183</f>
        <v>489884.40974269499</v>
      </c>
      <c r="J183" s="168">
        <v>0.05</v>
      </c>
      <c r="K183" s="2"/>
      <c r="L183" s="2"/>
      <c r="M183" s="39">
        <f t="shared" si="39"/>
        <v>24494.220487134749</v>
      </c>
      <c r="N183" s="100">
        <f t="shared" si="38"/>
        <v>465390.18925556022</v>
      </c>
    </row>
    <row r="184" spans="1:14" x14ac:dyDescent="0.25">
      <c r="A184" s="59">
        <v>14.1</v>
      </c>
      <c r="B184" s="169" t="s">
        <v>185</v>
      </c>
      <c r="C184" s="54">
        <f t="shared" si="36"/>
        <v>0</v>
      </c>
      <c r="D184" s="29">
        <v>0</v>
      </c>
      <c r="E184" s="155"/>
      <c r="F184" s="2"/>
      <c r="G184" s="2"/>
      <c r="H184" s="160">
        <f t="shared" si="37"/>
        <v>0</v>
      </c>
      <c r="I184" s="160">
        <f>E184</f>
        <v>0</v>
      </c>
      <c r="J184" s="161">
        <f>J183*1.5</f>
        <v>7.5000000000000011E-2</v>
      </c>
      <c r="K184" s="2"/>
      <c r="L184" s="2"/>
      <c r="M184" s="39">
        <f t="shared" si="39"/>
        <v>0</v>
      </c>
      <c r="N184" s="100">
        <f t="shared" si="38"/>
        <v>0</v>
      </c>
    </row>
    <row r="185" spans="1:14" x14ac:dyDescent="0.25">
      <c r="A185" s="164">
        <v>17</v>
      </c>
      <c r="B185" s="57" t="s">
        <v>177</v>
      </c>
      <c r="C185" s="54">
        <f t="shared" si="36"/>
        <v>175999.16657855595</v>
      </c>
      <c r="D185" s="99">
        <v>0</v>
      </c>
      <c r="E185" s="29"/>
      <c r="F185" s="2"/>
      <c r="G185" s="2"/>
      <c r="H185" s="160">
        <f t="shared" si="37"/>
        <v>0</v>
      </c>
      <c r="I185" s="160">
        <f>C185+H185</f>
        <v>175999.16657855595</v>
      </c>
      <c r="J185" s="161">
        <v>0.08</v>
      </c>
      <c r="K185" s="2"/>
      <c r="L185" s="2"/>
      <c r="M185" s="39">
        <f t="shared" si="39"/>
        <v>14079.933326284476</v>
      </c>
      <c r="N185" s="100">
        <f t="shared" si="38"/>
        <v>161919.23325227146</v>
      </c>
    </row>
    <row r="186" spans="1:14" x14ac:dyDescent="0.25">
      <c r="A186" s="59">
        <v>43.2</v>
      </c>
      <c r="B186" s="166" t="s">
        <v>178</v>
      </c>
      <c r="C186" s="54">
        <f t="shared" si="36"/>
        <v>461.91593169450175</v>
      </c>
      <c r="D186" s="29">
        <v>0</v>
      </c>
      <c r="E186" s="155"/>
      <c r="F186" s="2"/>
      <c r="G186" s="2"/>
      <c r="H186" s="160">
        <f t="shared" si="37"/>
        <v>0</v>
      </c>
      <c r="I186" s="160">
        <f>C186+H186</f>
        <v>461.91593169450175</v>
      </c>
      <c r="J186" s="168">
        <v>0.5</v>
      </c>
      <c r="K186" s="2"/>
      <c r="L186" s="2"/>
      <c r="M186" s="39">
        <f t="shared" si="39"/>
        <v>230.95796584725088</v>
      </c>
      <c r="N186" s="100">
        <f t="shared" si="38"/>
        <v>230.95796584725088</v>
      </c>
    </row>
    <row r="187" spans="1:14" x14ac:dyDescent="0.25">
      <c r="A187" s="59">
        <v>46</v>
      </c>
      <c r="B187" s="3" t="s">
        <v>134</v>
      </c>
      <c r="C187" s="54">
        <f t="shared" si="36"/>
        <v>112209.826</v>
      </c>
      <c r="D187" s="29"/>
      <c r="E187" s="155"/>
      <c r="F187" s="2"/>
      <c r="G187" s="2"/>
      <c r="H187" s="160">
        <f t="shared" si="37"/>
        <v>0</v>
      </c>
      <c r="I187" s="160">
        <f>C187+H187</f>
        <v>112209.826</v>
      </c>
      <c r="J187" s="168">
        <v>0.3</v>
      </c>
      <c r="K187" s="2"/>
      <c r="L187" s="2"/>
      <c r="M187" s="39">
        <f>(I187*J187)</f>
        <v>33662.947800000002</v>
      </c>
      <c r="N187" s="100">
        <f t="shared" si="38"/>
        <v>78546.878200000006</v>
      </c>
    </row>
    <row r="188" spans="1:14" x14ac:dyDescent="0.25">
      <c r="A188" s="59">
        <v>46</v>
      </c>
      <c r="B188" s="3" t="s">
        <v>135</v>
      </c>
      <c r="C188" s="54">
        <f t="shared" si="36"/>
        <v>0</v>
      </c>
      <c r="D188" s="29"/>
      <c r="E188" s="155"/>
      <c r="F188" s="2"/>
      <c r="G188" s="2"/>
      <c r="H188" s="160">
        <f t="shared" si="37"/>
        <v>0</v>
      </c>
      <c r="I188" s="160">
        <f>E188</f>
        <v>0</v>
      </c>
      <c r="J188" s="168">
        <f>J187</f>
        <v>0.3</v>
      </c>
      <c r="K188" s="2"/>
      <c r="L188" s="2"/>
      <c r="M188" s="39">
        <f>(I188*J188)</f>
        <v>0</v>
      </c>
      <c r="N188" s="100">
        <f t="shared" si="38"/>
        <v>0</v>
      </c>
    </row>
    <row r="189" spans="1:14" x14ac:dyDescent="0.25">
      <c r="A189" s="159">
        <v>45</v>
      </c>
      <c r="B189" s="3" t="s">
        <v>179</v>
      </c>
      <c r="C189" s="54">
        <f t="shared" si="36"/>
        <v>9.1679331006784821</v>
      </c>
      <c r="D189" s="29">
        <v>0</v>
      </c>
      <c r="E189" s="155"/>
      <c r="F189" s="2"/>
      <c r="G189" s="2"/>
      <c r="H189" s="160">
        <f t="shared" si="37"/>
        <v>0</v>
      </c>
      <c r="I189" s="160">
        <f>C189+H189</f>
        <v>9.1679331006784821</v>
      </c>
      <c r="J189" s="161">
        <v>0.45</v>
      </c>
      <c r="K189" s="2"/>
      <c r="L189" s="170"/>
      <c r="M189" s="39">
        <f t="shared" si="39"/>
        <v>4.1255698953053175</v>
      </c>
      <c r="N189" s="100">
        <f t="shared" si="38"/>
        <v>5.0423632053731646</v>
      </c>
    </row>
    <row r="190" spans="1:14" x14ac:dyDescent="0.25">
      <c r="A190" s="164">
        <v>47</v>
      </c>
      <c r="B190" s="56" t="s">
        <v>180</v>
      </c>
      <c r="C190" s="54">
        <f t="shared" si="36"/>
        <v>70873427.218629673</v>
      </c>
      <c r="D190" s="29">
        <f>'WRZ_CCA - w accelerated'!E195</f>
        <v>7867855.3599999798</v>
      </c>
      <c r="E190" s="155"/>
      <c r="F190" s="2"/>
      <c r="G190" s="2"/>
      <c r="H190" s="160">
        <f t="shared" si="37"/>
        <v>3933927.6799999899</v>
      </c>
      <c r="I190" s="160">
        <f>C190+H190</f>
        <v>74807354.898629665</v>
      </c>
      <c r="J190" s="161">
        <v>0.08</v>
      </c>
      <c r="K190" s="2"/>
      <c r="L190" s="2"/>
      <c r="M190" s="39">
        <f t="shared" si="39"/>
        <v>5984588.3918903731</v>
      </c>
      <c r="N190" s="100">
        <f t="shared" si="38"/>
        <v>72756694.186739281</v>
      </c>
    </row>
    <row r="191" spans="1:14" x14ac:dyDescent="0.25">
      <c r="A191" s="164">
        <v>47</v>
      </c>
      <c r="B191" s="56" t="s">
        <v>181</v>
      </c>
      <c r="C191" s="54">
        <f t="shared" si="36"/>
        <v>0</v>
      </c>
      <c r="D191" s="171">
        <v>0</v>
      </c>
      <c r="E191" s="155"/>
      <c r="F191" s="2"/>
      <c r="G191" s="2"/>
      <c r="H191" s="160">
        <f t="shared" si="37"/>
        <v>0</v>
      </c>
      <c r="I191" s="160">
        <f>E191</f>
        <v>0</v>
      </c>
      <c r="J191" s="161">
        <f>J190*1.5</f>
        <v>0.12</v>
      </c>
      <c r="K191" s="2"/>
      <c r="L191" s="2"/>
      <c r="M191" s="39">
        <f t="shared" si="39"/>
        <v>0</v>
      </c>
      <c r="N191" s="100">
        <f t="shared" si="38"/>
        <v>0</v>
      </c>
    </row>
    <row r="192" spans="1:14" x14ac:dyDescent="0.25">
      <c r="A192" s="159">
        <v>50</v>
      </c>
      <c r="B192" s="3" t="s">
        <v>179</v>
      </c>
      <c r="C192" s="54">
        <f t="shared" si="36"/>
        <v>565197.13038839458</v>
      </c>
      <c r="D192" s="99">
        <f>'WRZ_CCA - w accelerated'!E197</f>
        <v>768757.60000000009</v>
      </c>
      <c r="E192" s="29"/>
      <c r="F192" s="2">
        <v>0</v>
      </c>
      <c r="G192" s="99">
        <v>0</v>
      </c>
      <c r="H192" s="160">
        <f t="shared" si="37"/>
        <v>384378.80000000005</v>
      </c>
      <c r="I192" s="160">
        <f>C192+H192</f>
        <v>949575.93038839463</v>
      </c>
      <c r="J192" s="168">
        <v>0.55000000000000004</v>
      </c>
      <c r="K192" s="2"/>
      <c r="L192" s="2"/>
      <c r="M192" s="39">
        <f t="shared" si="39"/>
        <v>522266.76171361707</v>
      </c>
      <c r="N192" s="100">
        <f t="shared" si="38"/>
        <v>811687.96867477754</v>
      </c>
    </row>
    <row r="193" spans="1:14" x14ac:dyDescent="0.25">
      <c r="A193" s="172">
        <v>50</v>
      </c>
      <c r="B193" s="3" t="s">
        <v>182</v>
      </c>
      <c r="C193" s="54">
        <f t="shared" si="36"/>
        <v>0</v>
      </c>
      <c r="D193" s="29">
        <v>0</v>
      </c>
      <c r="E193" s="155">
        <v>0</v>
      </c>
      <c r="F193" s="2"/>
      <c r="G193" s="2">
        <v>0</v>
      </c>
      <c r="H193" s="160">
        <f t="shared" si="37"/>
        <v>0</v>
      </c>
      <c r="I193" s="160">
        <f>E193</f>
        <v>0</v>
      </c>
      <c r="J193" s="161">
        <f>J192*1.5</f>
        <v>0.82500000000000007</v>
      </c>
      <c r="K193" s="2"/>
      <c r="L193" s="2"/>
      <c r="M193" s="39">
        <f t="shared" si="39"/>
        <v>0</v>
      </c>
      <c r="N193" s="100">
        <f t="shared" si="38"/>
        <v>0</v>
      </c>
    </row>
    <row r="194" spans="1:14" x14ac:dyDescent="0.25">
      <c r="A194" s="173">
        <v>95</v>
      </c>
      <c r="B194" s="60" t="s">
        <v>10</v>
      </c>
      <c r="C194" s="54">
        <f t="shared" si="36"/>
        <v>0</v>
      </c>
      <c r="D194" s="29">
        <v>0</v>
      </c>
      <c r="E194" s="155">
        <v>0</v>
      </c>
      <c r="F194" s="2">
        <v>0</v>
      </c>
      <c r="G194" s="2"/>
      <c r="H194" s="160">
        <f t="shared" si="37"/>
        <v>0</v>
      </c>
      <c r="I194" s="155">
        <f>C194+D194+F194</f>
        <v>0</v>
      </c>
      <c r="J194" s="168">
        <v>0</v>
      </c>
      <c r="K194" s="2"/>
      <c r="L194" s="2"/>
      <c r="M194" s="39">
        <f t="shared" si="39"/>
        <v>0</v>
      </c>
      <c r="N194" s="100">
        <f>I194-M194</f>
        <v>0</v>
      </c>
    </row>
    <row r="195" spans="1:14" ht="15.75" thickBot="1" x14ac:dyDescent="0.3">
      <c r="A195" s="61" t="s">
        <v>11</v>
      </c>
      <c r="B195" s="62"/>
      <c r="C195" s="63">
        <f t="shared" ref="C195:I195" si="40">SUM(C174:C194)</f>
        <v>106528459.59794883</v>
      </c>
      <c r="D195" s="64">
        <f t="shared" si="40"/>
        <v>9450080.2399999797</v>
      </c>
      <c r="E195" s="64">
        <f t="shared" si="40"/>
        <v>0</v>
      </c>
      <c r="F195" s="23">
        <f t="shared" si="40"/>
        <v>0</v>
      </c>
      <c r="G195" s="27">
        <f t="shared" si="40"/>
        <v>0</v>
      </c>
      <c r="H195" s="63">
        <f t="shared" si="40"/>
        <v>4725040.1199999899</v>
      </c>
      <c r="I195" s="63">
        <f t="shared" si="40"/>
        <v>111253499.71794882</v>
      </c>
      <c r="J195" s="63" t="s">
        <v>0</v>
      </c>
      <c r="K195" s="63">
        <f>SUM(K174:K194)</f>
        <v>0</v>
      </c>
      <c r="L195" s="63">
        <f>SUM(L174:L194)</f>
        <v>0</v>
      </c>
      <c r="M195" s="63">
        <f>SUM(M174:M194)</f>
        <v>8946260.7859098092</v>
      </c>
      <c r="N195" s="63">
        <f>SUM(N174:N194)</f>
        <v>107032279.052039</v>
      </c>
    </row>
    <row r="196" spans="1:14" ht="15.75" thickTop="1" x14ac:dyDescent="0.25"/>
    <row r="197" spans="1:14" x14ac:dyDescent="0.25">
      <c r="A197">
        <v>2025</v>
      </c>
      <c r="B197" t="s">
        <v>194</v>
      </c>
      <c r="D197" s="175"/>
      <c r="E197" s="175"/>
    </row>
    <row r="198" spans="1:14" ht="30" x14ac:dyDescent="0.25">
      <c r="A198" s="150" t="s">
        <v>2</v>
      </c>
      <c r="B198" s="53" t="s">
        <v>3</v>
      </c>
      <c r="C198" s="53" t="s">
        <v>195</v>
      </c>
      <c r="D198" s="151" t="s">
        <v>133</v>
      </c>
      <c r="E198" s="151" t="s">
        <v>184</v>
      </c>
      <c r="F198" s="151" t="s">
        <v>4</v>
      </c>
      <c r="G198" s="151" t="s">
        <v>12</v>
      </c>
      <c r="H198" s="151" t="s">
        <v>5</v>
      </c>
      <c r="I198" s="151" t="s">
        <v>6</v>
      </c>
      <c r="J198" s="151" t="s">
        <v>57</v>
      </c>
      <c r="K198" s="151" t="s">
        <v>58</v>
      </c>
      <c r="L198" s="151" t="s">
        <v>7</v>
      </c>
      <c r="M198" s="152" t="s">
        <v>61</v>
      </c>
      <c r="N198" s="153" t="s">
        <v>8</v>
      </c>
    </row>
    <row r="199" spans="1:14" x14ac:dyDescent="0.25">
      <c r="A199" s="150"/>
      <c r="B199" s="53"/>
      <c r="C199" s="154"/>
      <c r="D199" s="28"/>
      <c r="E199" s="155"/>
      <c r="F199" s="1"/>
      <c r="G199" s="1"/>
      <c r="H199" s="1"/>
      <c r="I199" s="156"/>
      <c r="J199" s="157"/>
      <c r="K199" s="1"/>
      <c r="L199" s="1"/>
      <c r="M199" s="73"/>
      <c r="N199" s="158"/>
    </row>
    <row r="200" spans="1:14" x14ac:dyDescent="0.25">
      <c r="A200" s="159">
        <v>1</v>
      </c>
      <c r="B200" s="3" t="s">
        <v>168</v>
      </c>
      <c r="C200" s="54">
        <f t="shared" ref="C200:C220" si="41">N174</f>
        <v>27028760.298415449</v>
      </c>
      <c r="D200" s="29">
        <f>'WRZ_CCA - w accelerated'!E205</f>
        <v>77282.340000000084</v>
      </c>
      <c r="E200" s="155"/>
      <c r="F200" s="2"/>
      <c r="G200" s="2"/>
      <c r="H200" s="160">
        <f t="shared" ref="H200:H220" si="42">SUM(D200+G200)/2</f>
        <v>38641.170000000042</v>
      </c>
      <c r="I200" s="176">
        <f>C200+H200</f>
        <v>27067401.46841545</v>
      </c>
      <c r="J200" s="161">
        <v>0.04</v>
      </c>
      <c r="K200" s="2"/>
      <c r="L200" s="2"/>
      <c r="M200" s="39">
        <f t="shared" ref="M200:M220" si="43">(I200*J200)</f>
        <v>1082696.0587366181</v>
      </c>
      <c r="N200" s="100">
        <f t="shared" ref="N200:N219" si="44">H200+I200-M200</f>
        <v>26023346.579678833</v>
      </c>
    </row>
    <row r="201" spans="1:14" x14ac:dyDescent="0.25">
      <c r="A201" s="159">
        <v>1</v>
      </c>
      <c r="B201" s="3" t="s">
        <v>169</v>
      </c>
      <c r="C201" s="54">
        <f t="shared" si="41"/>
        <v>0</v>
      </c>
      <c r="D201" s="29">
        <v>0</v>
      </c>
      <c r="E201" s="155">
        <v>0</v>
      </c>
      <c r="F201" s="2" t="s">
        <v>0</v>
      </c>
      <c r="G201" s="2"/>
      <c r="H201" s="160">
        <f t="shared" si="42"/>
        <v>0</v>
      </c>
      <c r="I201" s="160">
        <f>E201</f>
        <v>0</v>
      </c>
      <c r="J201" s="161">
        <f>J200*1.5</f>
        <v>0.06</v>
      </c>
      <c r="K201" s="2"/>
      <c r="L201" s="2"/>
      <c r="M201" s="39">
        <f t="shared" si="43"/>
        <v>0</v>
      </c>
      <c r="N201" s="100">
        <f t="shared" si="44"/>
        <v>0</v>
      </c>
    </row>
    <row r="202" spans="1:14" x14ac:dyDescent="0.25">
      <c r="A202" s="162">
        <v>2</v>
      </c>
      <c r="B202" s="3" t="s">
        <v>170</v>
      </c>
      <c r="C202" s="54">
        <f t="shared" si="41"/>
        <v>3211711.9004065935</v>
      </c>
      <c r="D202" s="29">
        <v>0</v>
      </c>
      <c r="E202" s="155">
        <v>0</v>
      </c>
      <c r="F202" s="2"/>
      <c r="G202" s="2"/>
      <c r="H202" s="160">
        <f t="shared" si="42"/>
        <v>0</v>
      </c>
      <c r="I202" s="160">
        <f>C202+H202</f>
        <v>3211711.9004065935</v>
      </c>
      <c r="J202" s="161">
        <v>0.06</v>
      </c>
      <c r="K202" s="2"/>
      <c r="L202" s="2"/>
      <c r="M202" s="39">
        <f t="shared" si="43"/>
        <v>192702.71402439559</v>
      </c>
      <c r="N202" s="100">
        <f t="shared" si="44"/>
        <v>3019009.1863821978</v>
      </c>
    </row>
    <row r="203" spans="1:14" x14ac:dyDescent="0.25">
      <c r="A203" s="164">
        <v>8</v>
      </c>
      <c r="B203" s="56" t="s">
        <v>171</v>
      </c>
      <c r="C203" s="54">
        <f t="shared" si="41"/>
        <v>1300502.877468877</v>
      </c>
      <c r="D203" s="99">
        <f>'WRZ_CCA - w accelerated'!E208</f>
        <v>255217.0399999998</v>
      </c>
      <c r="E203" s="29">
        <v>0</v>
      </c>
      <c r="F203" s="2"/>
      <c r="G203" s="2"/>
      <c r="H203" s="160">
        <f t="shared" si="42"/>
        <v>127608.5199999999</v>
      </c>
      <c r="I203" s="160">
        <f>C203+H203</f>
        <v>1428111.397468877</v>
      </c>
      <c r="J203" s="161">
        <v>0.2</v>
      </c>
      <c r="K203" s="2"/>
      <c r="L203" s="2"/>
      <c r="M203" s="39">
        <f t="shared" si="43"/>
        <v>285622.27949377539</v>
      </c>
      <c r="N203" s="100">
        <f t="shared" si="44"/>
        <v>1270097.6379751016</v>
      </c>
    </row>
    <row r="204" spans="1:14" x14ac:dyDescent="0.25">
      <c r="A204" s="164">
        <v>8</v>
      </c>
      <c r="B204" s="56" t="s">
        <v>62</v>
      </c>
      <c r="C204" s="54">
        <f t="shared" si="41"/>
        <v>0</v>
      </c>
      <c r="D204" s="29">
        <v>0</v>
      </c>
      <c r="E204" s="155"/>
      <c r="F204" s="2"/>
      <c r="G204" s="2"/>
      <c r="H204" s="160">
        <f t="shared" si="42"/>
        <v>0</v>
      </c>
      <c r="I204" s="160">
        <f>E204</f>
        <v>0</v>
      </c>
      <c r="J204" s="161">
        <f>J203*1.5</f>
        <v>0.30000000000000004</v>
      </c>
      <c r="K204" s="2"/>
      <c r="L204" s="2"/>
      <c r="M204" s="39">
        <f t="shared" si="43"/>
        <v>0</v>
      </c>
      <c r="N204" s="100">
        <f t="shared" si="44"/>
        <v>0</v>
      </c>
    </row>
    <row r="205" spans="1:14" x14ac:dyDescent="0.25">
      <c r="A205" s="159">
        <v>10</v>
      </c>
      <c r="B205" s="3" t="s">
        <v>172</v>
      </c>
      <c r="C205" s="54">
        <f t="shared" si="41"/>
        <v>801038.88174549607</v>
      </c>
      <c r="D205" s="29">
        <f>'WRZ_CCA - w accelerated'!E210</f>
        <v>870616.65999999992</v>
      </c>
      <c r="E205" s="155"/>
      <c r="F205" s="2"/>
      <c r="G205" s="2">
        <v>0</v>
      </c>
      <c r="H205" s="160">
        <f t="shared" si="42"/>
        <v>435308.32999999996</v>
      </c>
      <c r="I205" s="160">
        <f>C205+H205</f>
        <v>1236347.2117454959</v>
      </c>
      <c r="J205" s="161">
        <v>0.3</v>
      </c>
      <c r="K205" s="2"/>
      <c r="L205" s="2"/>
      <c r="M205" s="39">
        <f t="shared" si="43"/>
        <v>370904.16352364875</v>
      </c>
      <c r="N205" s="100">
        <f t="shared" si="44"/>
        <v>1300751.3782218471</v>
      </c>
    </row>
    <row r="206" spans="1:14" x14ac:dyDescent="0.25">
      <c r="A206" s="164">
        <v>12</v>
      </c>
      <c r="B206" s="57" t="s">
        <v>173</v>
      </c>
      <c r="C206" s="54">
        <f t="shared" si="41"/>
        <v>140777.87500000012</v>
      </c>
      <c r="D206" s="29">
        <f>'WRZ_CCA - w accelerated'!E212</f>
        <v>336357.07999999914</v>
      </c>
      <c r="E206" s="155"/>
      <c r="F206" s="2"/>
      <c r="G206" s="2"/>
      <c r="H206" s="160">
        <f t="shared" si="42"/>
        <v>168178.53999999957</v>
      </c>
      <c r="I206" s="160">
        <f>C206+H206</f>
        <v>308956.41499999969</v>
      </c>
      <c r="J206" s="161">
        <v>1</v>
      </c>
      <c r="K206" s="2"/>
      <c r="L206" s="2"/>
      <c r="M206" s="39">
        <f t="shared" si="43"/>
        <v>308956.41499999969</v>
      </c>
      <c r="N206" s="100">
        <f t="shared" si="44"/>
        <v>168178.53999999957</v>
      </c>
    </row>
    <row r="207" spans="1:14" x14ac:dyDescent="0.25">
      <c r="A207" s="164">
        <v>12</v>
      </c>
      <c r="B207" s="3" t="s">
        <v>174</v>
      </c>
      <c r="C207" s="54">
        <f t="shared" si="41"/>
        <v>0</v>
      </c>
      <c r="D207" s="29">
        <v>0</v>
      </c>
      <c r="E207" s="155"/>
      <c r="F207" s="2"/>
      <c r="G207" s="2"/>
      <c r="H207" s="160">
        <f t="shared" si="42"/>
        <v>0</v>
      </c>
      <c r="I207" s="160">
        <f>E207</f>
        <v>0</v>
      </c>
      <c r="J207" s="161">
        <f>J206</f>
        <v>1</v>
      </c>
      <c r="K207" s="2"/>
      <c r="L207" s="2"/>
      <c r="M207" s="39">
        <f t="shared" si="43"/>
        <v>0</v>
      </c>
      <c r="N207" s="100">
        <f t="shared" si="44"/>
        <v>0</v>
      </c>
    </row>
    <row r="208" spans="1:14" x14ac:dyDescent="0.25">
      <c r="A208" s="59">
        <v>14.1</v>
      </c>
      <c r="B208" s="166" t="s">
        <v>175</v>
      </c>
      <c r="C208" s="54">
        <f t="shared" si="41"/>
        <v>275012.76255164266</v>
      </c>
      <c r="D208" s="29">
        <v>0</v>
      </c>
      <c r="E208" s="155"/>
      <c r="F208" s="2"/>
      <c r="G208" s="2"/>
      <c r="H208" s="160">
        <f t="shared" si="42"/>
        <v>0</v>
      </c>
      <c r="I208" s="160">
        <f>C208+H208</f>
        <v>275012.76255164266</v>
      </c>
      <c r="J208" s="168">
        <v>7.0000000000000007E-2</v>
      </c>
      <c r="K208" s="2"/>
      <c r="L208" s="2"/>
      <c r="M208" s="39">
        <f t="shared" si="43"/>
        <v>19250.89337861499</v>
      </c>
      <c r="N208" s="100">
        <f t="shared" si="44"/>
        <v>255761.86917302766</v>
      </c>
    </row>
    <row r="209" spans="1:14" x14ac:dyDescent="0.25">
      <c r="A209" s="59">
        <v>14.1</v>
      </c>
      <c r="B209" s="169" t="s">
        <v>176</v>
      </c>
      <c r="C209" s="54">
        <f t="shared" si="41"/>
        <v>465390.18925556022</v>
      </c>
      <c r="D209" s="29">
        <v>0</v>
      </c>
      <c r="E209" s="155"/>
      <c r="F209" s="2"/>
      <c r="G209" s="2"/>
      <c r="H209" s="160">
        <f t="shared" si="42"/>
        <v>0</v>
      </c>
      <c r="I209" s="160">
        <f>C209+H209</f>
        <v>465390.18925556022</v>
      </c>
      <c r="J209" s="168">
        <v>0.05</v>
      </c>
      <c r="K209" s="2"/>
      <c r="L209" s="2"/>
      <c r="M209" s="39">
        <f t="shared" si="43"/>
        <v>23269.509462778013</v>
      </c>
      <c r="N209" s="100">
        <f t="shared" si="44"/>
        <v>442120.67979278223</v>
      </c>
    </row>
    <row r="210" spans="1:14" x14ac:dyDescent="0.25">
      <c r="A210" s="59">
        <v>14.1</v>
      </c>
      <c r="B210" s="169" t="s">
        <v>185</v>
      </c>
      <c r="C210" s="54">
        <f t="shared" si="41"/>
        <v>0</v>
      </c>
      <c r="D210" s="29">
        <v>0</v>
      </c>
      <c r="E210" s="155"/>
      <c r="F210" s="2"/>
      <c r="G210" s="2"/>
      <c r="H210" s="160">
        <f t="shared" si="42"/>
        <v>0</v>
      </c>
      <c r="I210" s="160">
        <f>E210</f>
        <v>0</v>
      </c>
      <c r="J210" s="161">
        <f>J209*1.5</f>
        <v>7.5000000000000011E-2</v>
      </c>
      <c r="K210" s="2"/>
      <c r="L210" s="2"/>
      <c r="M210" s="39">
        <f t="shared" si="43"/>
        <v>0</v>
      </c>
      <c r="N210" s="100">
        <f t="shared" si="44"/>
        <v>0</v>
      </c>
    </row>
    <row r="211" spans="1:14" x14ac:dyDescent="0.25">
      <c r="A211" s="164">
        <v>17</v>
      </c>
      <c r="B211" s="57" t="s">
        <v>177</v>
      </c>
      <c r="C211" s="54">
        <f t="shared" si="41"/>
        <v>161919.23325227146</v>
      </c>
      <c r="D211" s="99">
        <v>0</v>
      </c>
      <c r="E211" s="29"/>
      <c r="F211" s="2"/>
      <c r="G211" s="2"/>
      <c r="H211" s="160">
        <f t="shared" si="42"/>
        <v>0</v>
      </c>
      <c r="I211" s="160">
        <f>C211+H211</f>
        <v>161919.23325227146</v>
      </c>
      <c r="J211" s="161">
        <v>0.08</v>
      </c>
      <c r="K211" s="2"/>
      <c r="L211" s="2"/>
      <c r="M211" s="39">
        <f t="shared" si="43"/>
        <v>12953.538660181717</v>
      </c>
      <c r="N211" s="100">
        <f t="shared" si="44"/>
        <v>148965.69459208974</v>
      </c>
    </row>
    <row r="212" spans="1:14" x14ac:dyDescent="0.25">
      <c r="A212" s="59">
        <v>43.2</v>
      </c>
      <c r="B212" s="166" t="s">
        <v>178</v>
      </c>
      <c r="C212" s="54">
        <f t="shared" si="41"/>
        <v>230.95796584725088</v>
      </c>
      <c r="D212" s="29">
        <v>0</v>
      </c>
      <c r="E212" s="155"/>
      <c r="F212" s="2"/>
      <c r="G212" s="2"/>
      <c r="H212" s="160">
        <f t="shared" si="42"/>
        <v>0</v>
      </c>
      <c r="I212" s="160">
        <f>C212+H212</f>
        <v>230.95796584725088</v>
      </c>
      <c r="J212" s="168">
        <v>0.5</v>
      </c>
      <c r="K212" s="2"/>
      <c r="L212" s="2"/>
      <c r="M212" s="39">
        <f t="shared" si="43"/>
        <v>115.47898292362544</v>
      </c>
      <c r="N212" s="100">
        <f t="shared" si="44"/>
        <v>115.47898292362544</v>
      </c>
    </row>
    <row r="213" spans="1:14" x14ac:dyDescent="0.25">
      <c r="A213" s="59">
        <v>46</v>
      </c>
      <c r="B213" s="3" t="s">
        <v>134</v>
      </c>
      <c r="C213" s="54">
        <f t="shared" si="41"/>
        <v>78546.878200000006</v>
      </c>
      <c r="D213" s="29">
        <f>'WRZ_CCA - w accelerated'!E220</f>
        <v>3689965.62</v>
      </c>
      <c r="E213" s="155"/>
      <c r="F213" s="2"/>
      <c r="G213" s="2"/>
      <c r="H213" s="160">
        <f t="shared" si="42"/>
        <v>1844982.81</v>
      </c>
      <c r="I213" s="160">
        <f>C213+H213</f>
        <v>1923529.6882</v>
      </c>
      <c r="J213" s="168">
        <v>0.3</v>
      </c>
      <c r="K213" s="2"/>
      <c r="L213" s="2"/>
      <c r="M213" s="39">
        <f>(I213*J213)</f>
        <v>577058.90645999997</v>
      </c>
      <c r="N213" s="100">
        <f t="shared" si="44"/>
        <v>3191453.5917400001</v>
      </c>
    </row>
    <row r="214" spans="1:14" x14ac:dyDescent="0.25">
      <c r="A214" s="59">
        <v>46</v>
      </c>
      <c r="B214" s="3" t="s">
        <v>135</v>
      </c>
      <c r="C214" s="54">
        <f t="shared" si="41"/>
        <v>0</v>
      </c>
      <c r="D214" s="29"/>
      <c r="E214" s="155"/>
      <c r="F214" s="2"/>
      <c r="G214" s="2"/>
      <c r="H214" s="160">
        <f t="shared" si="42"/>
        <v>0</v>
      </c>
      <c r="I214" s="160">
        <f>E214</f>
        <v>0</v>
      </c>
      <c r="J214" s="168">
        <f>J213</f>
        <v>0.3</v>
      </c>
      <c r="K214" s="2"/>
      <c r="L214" s="2"/>
      <c r="M214" s="39">
        <f>(I214*J214)</f>
        <v>0</v>
      </c>
      <c r="N214" s="100">
        <f t="shared" si="44"/>
        <v>0</v>
      </c>
    </row>
    <row r="215" spans="1:14" x14ac:dyDescent="0.25">
      <c r="A215" s="159">
        <v>45</v>
      </c>
      <c r="B215" s="3" t="s">
        <v>179</v>
      </c>
      <c r="C215" s="54">
        <f t="shared" si="41"/>
        <v>5.0423632053731646</v>
      </c>
      <c r="D215" s="29">
        <v>0</v>
      </c>
      <c r="E215" s="155"/>
      <c r="F215" s="2"/>
      <c r="G215" s="2"/>
      <c r="H215" s="160">
        <f t="shared" si="42"/>
        <v>0</v>
      </c>
      <c r="I215" s="160">
        <f>C215+H215</f>
        <v>5.0423632053731646</v>
      </c>
      <c r="J215" s="161">
        <v>0.45</v>
      </c>
      <c r="K215" s="2"/>
      <c r="L215" s="170"/>
      <c r="M215" s="39">
        <f t="shared" si="43"/>
        <v>2.2690634424179241</v>
      </c>
      <c r="N215" s="100">
        <f t="shared" si="44"/>
        <v>2.7732997629552405</v>
      </c>
    </row>
    <row r="216" spans="1:14" x14ac:dyDescent="0.25">
      <c r="A216" s="164">
        <v>47</v>
      </c>
      <c r="B216" s="56" t="s">
        <v>180</v>
      </c>
      <c r="C216" s="54">
        <f t="shared" si="41"/>
        <v>72756694.186739281</v>
      </c>
      <c r="D216" s="29">
        <f>'WRZ_CCA - w accelerated'!E222</f>
        <v>8452809.5700000376</v>
      </c>
      <c r="E216" s="155"/>
      <c r="F216" s="2"/>
      <c r="G216" s="2"/>
      <c r="H216" s="160">
        <f t="shared" si="42"/>
        <v>4226404.7850000188</v>
      </c>
      <c r="I216" s="160">
        <f>C216+H216</f>
        <v>76983098.971739292</v>
      </c>
      <c r="J216" s="161">
        <v>0.08</v>
      </c>
      <c r="K216" s="2"/>
      <c r="L216" s="2"/>
      <c r="M216" s="39">
        <f t="shared" si="43"/>
        <v>6158647.9177391436</v>
      </c>
      <c r="N216" s="100">
        <f t="shared" si="44"/>
        <v>75050855.83900018</v>
      </c>
    </row>
    <row r="217" spans="1:14" x14ac:dyDescent="0.25">
      <c r="A217" s="164">
        <v>47</v>
      </c>
      <c r="B217" s="56" t="s">
        <v>181</v>
      </c>
      <c r="C217" s="54">
        <f t="shared" si="41"/>
        <v>0</v>
      </c>
      <c r="D217" s="171">
        <v>0</v>
      </c>
      <c r="E217" s="155"/>
      <c r="F217" s="2"/>
      <c r="G217" s="2"/>
      <c r="H217" s="160">
        <f t="shared" si="42"/>
        <v>0</v>
      </c>
      <c r="I217" s="160">
        <f>E217</f>
        <v>0</v>
      </c>
      <c r="J217" s="161">
        <f>J216*1.5</f>
        <v>0.12</v>
      </c>
      <c r="K217" s="2"/>
      <c r="L217" s="2"/>
      <c r="M217" s="39">
        <f t="shared" si="43"/>
        <v>0</v>
      </c>
      <c r="N217" s="100">
        <f t="shared" si="44"/>
        <v>0</v>
      </c>
    </row>
    <row r="218" spans="1:14" x14ac:dyDescent="0.25">
      <c r="A218" s="159">
        <v>50</v>
      </c>
      <c r="B218" s="3" t="s">
        <v>179</v>
      </c>
      <c r="C218" s="54">
        <f t="shared" si="41"/>
        <v>811687.96867477754</v>
      </c>
      <c r="D218" s="99">
        <f>'WRZ_CCA - w accelerated'!E224</f>
        <v>3385060.6999999993</v>
      </c>
      <c r="E218" s="29"/>
      <c r="F218" s="2">
        <v>0</v>
      </c>
      <c r="G218" s="99">
        <v>0</v>
      </c>
      <c r="H218" s="160">
        <f t="shared" si="42"/>
        <v>1692530.3499999996</v>
      </c>
      <c r="I218" s="160">
        <f>C218+H218</f>
        <v>2504218.3186747772</v>
      </c>
      <c r="J218" s="168">
        <v>0.55000000000000004</v>
      </c>
      <c r="K218" s="2"/>
      <c r="L218" s="2"/>
      <c r="M218" s="39">
        <f t="shared" si="43"/>
        <v>1377320.0752711275</v>
      </c>
      <c r="N218" s="100">
        <f t="shared" si="44"/>
        <v>2819428.5934036486</v>
      </c>
    </row>
    <row r="219" spans="1:14" x14ac:dyDescent="0.25">
      <c r="A219" s="172">
        <v>50</v>
      </c>
      <c r="B219" s="3" t="s">
        <v>182</v>
      </c>
      <c r="C219" s="54">
        <f t="shared" si="41"/>
        <v>0</v>
      </c>
      <c r="D219" s="29">
        <v>0</v>
      </c>
      <c r="E219" s="155"/>
      <c r="F219" s="2"/>
      <c r="G219" s="2">
        <v>0</v>
      </c>
      <c r="H219" s="160">
        <f t="shared" si="42"/>
        <v>0</v>
      </c>
      <c r="I219" s="160">
        <f>E219</f>
        <v>0</v>
      </c>
      <c r="J219" s="161">
        <f>J218*1.5</f>
        <v>0.82500000000000007</v>
      </c>
      <c r="K219" s="2"/>
      <c r="L219" s="2"/>
      <c r="M219" s="39">
        <f t="shared" si="43"/>
        <v>0</v>
      </c>
      <c r="N219" s="100">
        <f t="shared" si="44"/>
        <v>0</v>
      </c>
    </row>
    <row r="220" spans="1:14" x14ac:dyDescent="0.25">
      <c r="A220" s="173">
        <v>95</v>
      </c>
      <c r="B220" s="60" t="s">
        <v>10</v>
      </c>
      <c r="C220" s="54">
        <f t="shared" si="41"/>
        <v>0</v>
      </c>
      <c r="D220" s="29">
        <v>0</v>
      </c>
      <c r="E220" s="155">
        <v>0</v>
      </c>
      <c r="F220" s="2">
        <v>0</v>
      </c>
      <c r="G220" s="2"/>
      <c r="H220" s="160">
        <f t="shared" si="42"/>
        <v>0</v>
      </c>
      <c r="I220" s="155">
        <f>C220+D220+F220</f>
        <v>0</v>
      </c>
      <c r="J220" s="168">
        <v>0</v>
      </c>
      <c r="K220" s="2"/>
      <c r="L220" s="2"/>
      <c r="M220" s="39">
        <f t="shared" si="43"/>
        <v>0</v>
      </c>
      <c r="N220" s="100">
        <f>I220-M220</f>
        <v>0</v>
      </c>
    </row>
    <row r="221" spans="1:14" ht="15.75" thickBot="1" x14ac:dyDescent="0.3">
      <c r="A221" s="61" t="s">
        <v>11</v>
      </c>
      <c r="B221" s="62"/>
      <c r="C221" s="63">
        <f t="shared" ref="C221:I221" si="45">SUM(C200:C220)</f>
        <v>107032279.052039</v>
      </c>
      <c r="D221" s="64">
        <f t="shared" si="45"/>
        <v>17067309.010000035</v>
      </c>
      <c r="E221" s="64">
        <f t="shared" si="45"/>
        <v>0</v>
      </c>
      <c r="F221" s="23">
        <f t="shared" si="45"/>
        <v>0</v>
      </c>
      <c r="G221" s="27">
        <f t="shared" si="45"/>
        <v>0</v>
      </c>
      <c r="H221" s="63">
        <f t="shared" si="45"/>
        <v>8533654.5050000176</v>
      </c>
      <c r="I221" s="63">
        <f t="shared" si="45"/>
        <v>115565933.55703901</v>
      </c>
      <c r="J221" s="63" t="s">
        <v>0</v>
      </c>
      <c r="K221" s="63">
        <f>SUM(K200:K220)</f>
        <v>0</v>
      </c>
      <c r="L221" s="63">
        <f>SUM(L200:L220)</f>
        <v>0</v>
      </c>
      <c r="M221" s="63">
        <f>SUM(M200:M220)</f>
        <v>10409500.21979665</v>
      </c>
      <c r="N221" s="63">
        <f>SUM(N200:N220)</f>
        <v>113690087.84224239</v>
      </c>
    </row>
    <row r="222" spans="1:14" ht="15.75" thickTop="1" x14ac:dyDescent="0.25"/>
    <row r="223" spans="1:14" x14ac:dyDescent="0.25">
      <c r="A223">
        <v>2026</v>
      </c>
      <c r="B223" t="s">
        <v>118</v>
      </c>
      <c r="D223" s="175"/>
      <c r="E223" s="175"/>
    </row>
    <row r="224" spans="1:14" ht="30" x14ac:dyDescent="0.25">
      <c r="A224" s="150" t="s">
        <v>2</v>
      </c>
      <c r="B224" s="53" t="s">
        <v>3</v>
      </c>
      <c r="C224" s="53" t="s">
        <v>196</v>
      </c>
      <c r="D224" s="151" t="s">
        <v>126</v>
      </c>
      <c r="E224" s="151" t="s">
        <v>184</v>
      </c>
      <c r="F224" s="151" t="s">
        <v>4</v>
      </c>
      <c r="G224" s="151" t="s">
        <v>12</v>
      </c>
      <c r="H224" s="151" t="s">
        <v>5</v>
      </c>
      <c r="I224" s="151" t="s">
        <v>6</v>
      </c>
      <c r="J224" s="151" t="s">
        <v>57</v>
      </c>
      <c r="K224" s="151" t="s">
        <v>58</v>
      </c>
      <c r="L224" s="151" t="s">
        <v>7</v>
      </c>
      <c r="M224" s="152" t="s">
        <v>61</v>
      </c>
      <c r="N224" s="153" t="s">
        <v>8</v>
      </c>
    </row>
    <row r="225" spans="1:14" x14ac:dyDescent="0.25">
      <c r="A225" s="150"/>
      <c r="B225" s="53"/>
      <c r="C225" s="154"/>
      <c r="D225" s="28"/>
      <c r="E225" s="155"/>
      <c r="F225" s="1"/>
      <c r="G225" s="1"/>
      <c r="H225" s="1"/>
      <c r="I225" s="156"/>
      <c r="J225" s="157"/>
      <c r="K225" s="1"/>
      <c r="L225" s="1"/>
      <c r="M225" s="73"/>
      <c r="N225" s="158"/>
    </row>
    <row r="226" spans="1:14" x14ac:dyDescent="0.25">
      <c r="A226" s="159">
        <v>1</v>
      </c>
      <c r="B226" s="3" t="s">
        <v>168</v>
      </c>
      <c r="C226" s="54">
        <f t="shared" ref="C226:C246" si="46">N200</f>
        <v>26023346.579678833</v>
      </c>
      <c r="D226" s="29">
        <f>'WRZ_CCA - w accelerated'!E232</f>
        <v>23298.685673842516</v>
      </c>
      <c r="E226" s="155"/>
      <c r="F226" s="2"/>
      <c r="G226" s="2"/>
      <c r="H226" s="160">
        <f t="shared" ref="H226:H246" si="47">SUM(D226+G226)/2</f>
        <v>11649.342836921258</v>
      </c>
      <c r="I226" s="176">
        <f>C226+H226</f>
        <v>26034995.922515754</v>
      </c>
      <c r="J226" s="161">
        <v>0.04</v>
      </c>
      <c r="K226" s="2"/>
      <c r="L226" s="2"/>
      <c r="M226" s="39">
        <f t="shared" ref="M226:M246" si="48">(I226*J226)</f>
        <v>1041399.8369006302</v>
      </c>
      <c r="N226" s="100">
        <f t="shared" ref="N226:N245" si="49">H226+I226-M226</f>
        <v>25005245.428452045</v>
      </c>
    </row>
    <row r="227" spans="1:14" x14ac:dyDescent="0.25">
      <c r="A227" s="159">
        <v>1</v>
      </c>
      <c r="B227" s="3" t="s">
        <v>169</v>
      </c>
      <c r="C227" s="54">
        <f t="shared" si="46"/>
        <v>0</v>
      </c>
      <c r="D227" s="29">
        <v>0</v>
      </c>
      <c r="E227" s="155">
        <v>0</v>
      </c>
      <c r="F227" s="2" t="s">
        <v>0</v>
      </c>
      <c r="G227" s="2"/>
      <c r="H227" s="160">
        <f t="shared" si="47"/>
        <v>0</v>
      </c>
      <c r="I227" s="160">
        <f>E227</f>
        <v>0</v>
      </c>
      <c r="J227" s="161">
        <f>J226*1.5</f>
        <v>0.06</v>
      </c>
      <c r="K227" s="2"/>
      <c r="L227" s="2"/>
      <c r="M227" s="39">
        <f t="shared" si="48"/>
        <v>0</v>
      </c>
      <c r="N227" s="100">
        <f t="shared" si="49"/>
        <v>0</v>
      </c>
    </row>
    <row r="228" spans="1:14" x14ac:dyDescent="0.25">
      <c r="A228" s="162">
        <v>2</v>
      </c>
      <c r="B228" s="3" t="s">
        <v>170</v>
      </c>
      <c r="C228" s="54">
        <f t="shared" si="46"/>
        <v>3019009.1863821978</v>
      </c>
      <c r="D228" s="29">
        <v>0</v>
      </c>
      <c r="E228" s="155">
        <v>0</v>
      </c>
      <c r="F228" s="2"/>
      <c r="G228" s="2"/>
      <c r="H228" s="160">
        <f t="shared" si="47"/>
        <v>0</v>
      </c>
      <c r="I228" s="160">
        <f>C228+H228</f>
        <v>3019009.1863821978</v>
      </c>
      <c r="J228" s="161">
        <v>0.06</v>
      </c>
      <c r="K228" s="2"/>
      <c r="L228" s="2"/>
      <c r="M228" s="39">
        <f t="shared" si="48"/>
        <v>181140.55118293187</v>
      </c>
      <c r="N228" s="100">
        <f t="shared" si="49"/>
        <v>2837868.635199266</v>
      </c>
    </row>
    <row r="229" spans="1:14" x14ac:dyDescent="0.25">
      <c r="A229" s="164">
        <v>8</v>
      </c>
      <c r="B229" s="56" t="s">
        <v>171</v>
      </c>
      <c r="C229" s="54">
        <f t="shared" si="46"/>
        <v>1270097.6379751016</v>
      </c>
      <c r="D229" s="99">
        <f>'WRZ_CCA - w accelerated'!E235</f>
        <v>5698.2146520094448</v>
      </c>
      <c r="E229" s="29">
        <v>0</v>
      </c>
      <c r="F229" s="2"/>
      <c r="G229" s="2"/>
      <c r="H229" s="160">
        <f t="shared" si="47"/>
        <v>2849.1073260047224</v>
      </c>
      <c r="I229" s="160">
        <f>C229+H229</f>
        <v>1272946.7453011062</v>
      </c>
      <c r="J229" s="161">
        <v>0.2</v>
      </c>
      <c r="K229" s="2"/>
      <c r="L229" s="2"/>
      <c r="M229" s="39">
        <f t="shared" si="48"/>
        <v>254589.34906022126</v>
      </c>
      <c r="N229" s="100">
        <f t="shared" si="49"/>
        <v>1021206.5035668897</v>
      </c>
    </row>
    <row r="230" spans="1:14" x14ac:dyDescent="0.25">
      <c r="A230" s="164">
        <v>8</v>
      </c>
      <c r="B230" s="56" t="s">
        <v>62</v>
      </c>
      <c r="C230" s="54">
        <f t="shared" si="46"/>
        <v>0</v>
      </c>
      <c r="D230" s="29">
        <v>0</v>
      </c>
      <c r="E230" s="155"/>
      <c r="F230" s="2"/>
      <c r="G230" s="2"/>
      <c r="H230" s="160">
        <f t="shared" si="47"/>
        <v>0</v>
      </c>
      <c r="I230" s="160">
        <f>E230</f>
        <v>0</v>
      </c>
      <c r="J230" s="161">
        <f>J229*1.5</f>
        <v>0.30000000000000004</v>
      </c>
      <c r="K230" s="2"/>
      <c r="L230" s="2"/>
      <c r="M230" s="39">
        <f t="shared" si="48"/>
        <v>0</v>
      </c>
      <c r="N230" s="100">
        <f t="shared" si="49"/>
        <v>0</v>
      </c>
    </row>
    <row r="231" spans="1:14" x14ac:dyDescent="0.25">
      <c r="A231" s="159">
        <v>10</v>
      </c>
      <c r="B231" s="3" t="s">
        <v>172</v>
      </c>
      <c r="C231" s="54">
        <f t="shared" si="46"/>
        <v>1300751.3782218471</v>
      </c>
      <c r="D231" s="29">
        <f>'WRZ_CCA - w accelerated'!E237</f>
        <v>448376.14847095712</v>
      </c>
      <c r="E231" s="155"/>
      <c r="F231" s="2"/>
      <c r="G231" s="2">
        <v>0</v>
      </c>
      <c r="H231" s="160">
        <f t="shared" si="47"/>
        <v>224188.07423547856</v>
      </c>
      <c r="I231" s="160">
        <f>C231+H231</f>
        <v>1524939.4524573258</v>
      </c>
      <c r="J231" s="161">
        <v>0.3</v>
      </c>
      <c r="K231" s="2"/>
      <c r="L231" s="2"/>
      <c r="M231" s="39">
        <f t="shared" si="48"/>
        <v>457481.83573719772</v>
      </c>
      <c r="N231" s="100">
        <f t="shared" si="49"/>
        <v>1291645.6909556068</v>
      </c>
    </row>
    <row r="232" spans="1:14" x14ac:dyDescent="0.25">
      <c r="A232" s="164">
        <v>12</v>
      </c>
      <c r="B232" s="57" t="s">
        <v>173</v>
      </c>
      <c r="C232" s="54">
        <f t="shared" si="46"/>
        <v>168178.53999999957</v>
      </c>
      <c r="D232" s="29">
        <f>'WRZ_CCA - w accelerated'!E239</f>
        <v>0</v>
      </c>
      <c r="E232" s="155"/>
      <c r="F232" s="2"/>
      <c r="G232" s="2"/>
      <c r="H232" s="160">
        <f t="shared" si="47"/>
        <v>0</v>
      </c>
      <c r="I232" s="160">
        <f>C232+H232</f>
        <v>168178.53999999957</v>
      </c>
      <c r="J232" s="161">
        <v>1</v>
      </c>
      <c r="K232" s="2"/>
      <c r="L232" s="2"/>
      <c r="M232" s="39">
        <f t="shared" si="48"/>
        <v>168178.53999999957</v>
      </c>
      <c r="N232" s="100">
        <f t="shared" si="49"/>
        <v>0</v>
      </c>
    </row>
    <row r="233" spans="1:14" x14ac:dyDescent="0.25">
      <c r="A233" s="164">
        <v>12</v>
      </c>
      <c r="B233" s="3" t="s">
        <v>174</v>
      </c>
      <c r="C233" s="54">
        <f t="shared" si="46"/>
        <v>0</v>
      </c>
      <c r="D233" s="29">
        <v>0</v>
      </c>
      <c r="E233" s="155"/>
      <c r="F233" s="2"/>
      <c r="G233" s="2"/>
      <c r="H233" s="160">
        <f t="shared" si="47"/>
        <v>0</v>
      </c>
      <c r="I233" s="160">
        <f>E233</f>
        <v>0</v>
      </c>
      <c r="J233" s="161">
        <f>J232</f>
        <v>1</v>
      </c>
      <c r="K233" s="2"/>
      <c r="L233" s="2"/>
      <c r="M233" s="39">
        <f t="shared" si="48"/>
        <v>0</v>
      </c>
      <c r="N233" s="100">
        <f t="shared" si="49"/>
        <v>0</v>
      </c>
    </row>
    <row r="234" spans="1:14" x14ac:dyDescent="0.25">
      <c r="A234" s="59">
        <v>14.1</v>
      </c>
      <c r="B234" s="166" t="s">
        <v>175</v>
      </c>
      <c r="C234" s="54">
        <f t="shared" si="46"/>
        <v>255761.86917302766</v>
      </c>
      <c r="D234" s="29">
        <v>0</v>
      </c>
      <c r="E234" s="155"/>
      <c r="F234" s="2"/>
      <c r="G234" s="2"/>
      <c r="H234" s="160">
        <f t="shared" si="47"/>
        <v>0</v>
      </c>
      <c r="I234" s="160">
        <f>C234+H234</f>
        <v>255761.86917302766</v>
      </c>
      <c r="J234" s="168">
        <v>7.0000000000000007E-2</v>
      </c>
      <c r="K234" s="2"/>
      <c r="L234" s="2"/>
      <c r="M234" s="39">
        <f t="shared" si="48"/>
        <v>17903.330842111936</v>
      </c>
      <c r="N234" s="100">
        <f t="shared" si="49"/>
        <v>237858.53833091573</v>
      </c>
    </row>
    <row r="235" spans="1:14" x14ac:dyDescent="0.25">
      <c r="A235" s="59">
        <v>14.1</v>
      </c>
      <c r="B235" s="169" t="s">
        <v>176</v>
      </c>
      <c r="C235" s="54">
        <f t="shared" si="46"/>
        <v>442120.67979278223</v>
      </c>
      <c r="D235" s="29">
        <v>0</v>
      </c>
      <c r="E235" s="155"/>
      <c r="F235" s="2"/>
      <c r="G235" s="2"/>
      <c r="H235" s="160">
        <f t="shared" si="47"/>
        <v>0</v>
      </c>
      <c r="I235" s="160">
        <f>C235+H235</f>
        <v>442120.67979278223</v>
      </c>
      <c r="J235" s="168">
        <v>0.05</v>
      </c>
      <c r="K235" s="2"/>
      <c r="L235" s="2"/>
      <c r="M235" s="39">
        <f t="shared" si="48"/>
        <v>22106.033989639112</v>
      </c>
      <c r="N235" s="100">
        <f t="shared" si="49"/>
        <v>420014.6458031431</v>
      </c>
    </row>
    <row r="236" spans="1:14" x14ac:dyDescent="0.25">
      <c r="A236" s="59">
        <v>14.1</v>
      </c>
      <c r="B236" s="169" t="s">
        <v>185</v>
      </c>
      <c r="C236" s="54">
        <f t="shared" si="46"/>
        <v>0</v>
      </c>
      <c r="D236" s="29">
        <v>0</v>
      </c>
      <c r="E236" s="155"/>
      <c r="F236" s="2"/>
      <c r="G236" s="2"/>
      <c r="H236" s="160">
        <f t="shared" si="47"/>
        <v>0</v>
      </c>
      <c r="I236" s="160">
        <f>E236</f>
        <v>0</v>
      </c>
      <c r="J236" s="161">
        <f>J235*1.5</f>
        <v>7.5000000000000011E-2</v>
      </c>
      <c r="K236" s="2"/>
      <c r="L236" s="2"/>
      <c r="M236" s="39">
        <f t="shared" si="48"/>
        <v>0</v>
      </c>
      <c r="N236" s="100">
        <f t="shared" si="49"/>
        <v>0</v>
      </c>
    </row>
    <row r="237" spans="1:14" x14ac:dyDescent="0.25">
      <c r="A237" s="164">
        <v>17</v>
      </c>
      <c r="B237" s="57" t="s">
        <v>177</v>
      </c>
      <c r="C237" s="54">
        <f t="shared" si="46"/>
        <v>148965.69459208974</v>
      </c>
      <c r="D237" s="99">
        <v>0</v>
      </c>
      <c r="E237" s="29"/>
      <c r="F237" s="2"/>
      <c r="G237" s="2"/>
      <c r="H237" s="160">
        <f t="shared" si="47"/>
        <v>0</v>
      </c>
      <c r="I237" s="160">
        <f>C237+H237</f>
        <v>148965.69459208974</v>
      </c>
      <c r="J237" s="161">
        <v>0.08</v>
      </c>
      <c r="K237" s="2"/>
      <c r="L237" s="2"/>
      <c r="M237" s="39">
        <f t="shared" si="48"/>
        <v>11917.25556736718</v>
      </c>
      <c r="N237" s="100">
        <f t="shared" si="49"/>
        <v>137048.43902472255</v>
      </c>
    </row>
    <row r="238" spans="1:14" x14ac:dyDescent="0.25">
      <c r="A238" s="59">
        <v>43.2</v>
      </c>
      <c r="B238" s="166" t="s">
        <v>178</v>
      </c>
      <c r="C238" s="54">
        <f t="shared" si="46"/>
        <v>115.47898292362544</v>
      </c>
      <c r="D238" s="29">
        <v>0</v>
      </c>
      <c r="E238" s="155"/>
      <c r="F238" s="2"/>
      <c r="G238" s="2"/>
      <c r="H238" s="160">
        <f t="shared" si="47"/>
        <v>0</v>
      </c>
      <c r="I238" s="160">
        <f>C238+H238</f>
        <v>115.47898292362544</v>
      </c>
      <c r="J238" s="168">
        <v>0.5</v>
      </c>
      <c r="K238" s="2"/>
      <c r="L238" s="2"/>
      <c r="M238" s="39">
        <f t="shared" si="48"/>
        <v>57.739491461812719</v>
      </c>
      <c r="N238" s="100">
        <f t="shared" si="49"/>
        <v>57.739491461812719</v>
      </c>
    </row>
    <row r="239" spans="1:14" x14ac:dyDescent="0.25">
      <c r="A239" s="59">
        <v>46</v>
      </c>
      <c r="B239" s="3" t="s">
        <v>134</v>
      </c>
      <c r="C239" s="54">
        <f>N213</f>
        <v>3191453.5917400001</v>
      </c>
      <c r="D239" s="29"/>
      <c r="E239" s="155"/>
      <c r="F239" s="2"/>
      <c r="G239" s="2"/>
      <c r="H239" s="160">
        <f t="shared" si="47"/>
        <v>0</v>
      </c>
      <c r="I239" s="160">
        <f>C239+H239</f>
        <v>3191453.5917400001</v>
      </c>
      <c r="J239" s="168">
        <v>0.3</v>
      </c>
      <c r="K239" s="2"/>
      <c r="L239" s="2"/>
      <c r="M239" s="39">
        <f>(I239*J239)</f>
        <v>957436.07752199995</v>
      </c>
      <c r="N239" s="100">
        <f t="shared" si="49"/>
        <v>2234017.5142180002</v>
      </c>
    </row>
    <row r="240" spans="1:14" x14ac:dyDescent="0.25">
      <c r="A240" s="59">
        <v>46</v>
      </c>
      <c r="B240" s="3" t="s">
        <v>135</v>
      </c>
      <c r="C240" s="54">
        <f t="shared" si="46"/>
        <v>0</v>
      </c>
      <c r="D240" s="29"/>
      <c r="E240" s="155"/>
      <c r="F240" s="2"/>
      <c r="G240" s="2"/>
      <c r="H240" s="160">
        <f t="shared" si="47"/>
        <v>0</v>
      </c>
      <c r="I240" s="160">
        <f>E240</f>
        <v>0</v>
      </c>
      <c r="J240" s="168">
        <f>J239</f>
        <v>0.3</v>
      </c>
      <c r="K240" s="2"/>
      <c r="L240" s="2"/>
      <c r="M240" s="39">
        <f>(I240*J240)</f>
        <v>0</v>
      </c>
      <c r="N240" s="100">
        <f t="shared" si="49"/>
        <v>0</v>
      </c>
    </row>
    <row r="241" spans="1:14" x14ac:dyDescent="0.25">
      <c r="A241" s="159">
        <v>45</v>
      </c>
      <c r="B241" s="3" t="s">
        <v>179</v>
      </c>
      <c r="C241" s="54">
        <f t="shared" si="46"/>
        <v>2.7732997629552405</v>
      </c>
      <c r="D241" s="29">
        <v>0</v>
      </c>
      <c r="E241" s="155"/>
      <c r="F241" s="2"/>
      <c r="G241" s="2"/>
      <c r="H241" s="160">
        <f t="shared" si="47"/>
        <v>0</v>
      </c>
      <c r="I241" s="160">
        <f>C241+H241</f>
        <v>2.7732997629552405</v>
      </c>
      <c r="J241" s="161">
        <v>0.45</v>
      </c>
      <c r="K241" s="2"/>
      <c r="L241" s="170"/>
      <c r="M241" s="39">
        <f t="shared" si="48"/>
        <v>1.2479848933298583</v>
      </c>
      <c r="N241" s="100">
        <f t="shared" si="49"/>
        <v>1.5253148696253822</v>
      </c>
    </row>
    <row r="242" spans="1:14" x14ac:dyDescent="0.25">
      <c r="A242" s="164">
        <v>47</v>
      </c>
      <c r="B242" s="56" t="s">
        <v>180</v>
      </c>
      <c r="C242" s="54">
        <f t="shared" si="46"/>
        <v>75050855.83900018</v>
      </c>
      <c r="D242" s="29">
        <f>'WRZ_CCA - w accelerated'!E249</f>
        <v>8669070.8161154222</v>
      </c>
      <c r="E242" s="155"/>
      <c r="F242" s="2"/>
      <c r="G242" s="2"/>
      <c r="H242" s="160">
        <f t="shared" si="47"/>
        <v>4334535.4080577111</v>
      </c>
      <c r="I242" s="160">
        <f>C242+H242</f>
        <v>79385391.247057885</v>
      </c>
      <c r="J242" s="161">
        <v>0.08</v>
      </c>
      <c r="K242" s="2"/>
      <c r="L242" s="2"/>
      <c r="M242" s="39">
        <f t="shared" si="48"/>
        <v>6350831.2997646313</v>
      </c>
      <c r="N242" s="100">
        <f t="shared" si="49"/>
        <v>77369095.355350956</v>
      </c>
    </row>
    <row r="243" spans="1:14" x14ac:dyDescent="0.25">
      <c r="A243" s="164">
        <v>47</v>
      </c>
      <c r="B243" s="56" t="s">
        <v>181</v>
      </c>
      <c r="C243" s="54">
        <f t="shared" si="46"/>
        <v>0</v>
      </c>
      <c r="D243" s="171">
        <v>0</v>
      </c>
      <c r="E243" s="155"/>
      <c r="F243" s="2"/>
      <c r="G243" s="2"/>
      <c r="H243" s="160">
        <f t="shared" si="47"/>
        <v>0</v>
      </c>
      <c r="I243" s="160">
        <f>E243</f>
        <v>0</v>
      </c>
      <c r="J243" s="161">
        <f>J242*1.5</f>
        <v>0.12</v>
      </c>
      <c r="K243" s="2"/>
      <c r="L243" s="2"/>
      <c r="M243" s="39">
        <f t="shared" si="48"/>
        <v>0</v>
      </c>
      <c r="N243" s="100">
        <f t="shared" si="49"/>
        <v>0</v>
      </c>
    </row>
    <row r="244" spans="1:14" x14ac:dyDescent="0.25">
      <c r="A244" s="159">
        <v>50</v>
      </c>
      <c r="B244" s="3" t="s">
        <v>179</v>
      </c>
      <c r="C244" s="54">
        <f t="shared" si="46"/>
        <v>2819428.5934036486</v>
      </c>
      <c r="D244" s="99">
        <f>'WRZ_CCA - w accelerated'!E251</f>
        <v>0</v>
      </c>
      <c r="E244" s="29"/>
      <c r="F244" s="2">
        <v>0</v>
      </c>
      <c r="G244" s="99">
        <v>0</v>
      </c>
      <c r="H244" s="160">
        <f t="shared" si="47"/>
        <v>0</v>
      </c>
      <c r="I244" s="160">
        <f>C244+H244</f>
        <v>2819428.5934036486</v>
      </c>
      <c r="J244" s="168">
        <v>0.55000000000000004</v>
      </c>
      <c r="K244" s="2"/>
      <c r="L244" s="2"/>
      <c r="M244" s="39">
        <f t="shared" si="48"/>
        <v>1550685.7263720068</v>
      </c>
      <c r="N244" s="100">
        <f t="shared" si="49"/>
        <v>1268742.8670316418</v>
      </c>
    </row>
    <row r="245" spans="1:14" x14ac:dyDescent="0.25">
      <c r="A245" s="172">
        <v>50</v>
      </c>
      <c r="B245" s="3" t="s">
        <v>182</v>
      </c>
      <c r="C245" s="54">
        <f t="shared" si="46"/>
        <v>0</v>
      </c>
      <c r="D245" s="29">
        <v>0</v>
      </c>
      <c r="E245" s="155"/>
      <c r="F245" s="2"/>
      <c r="G245" s="2">
        <v>0</v>
      </c>
      <c r="H245" s="160">
        <f t="shared" si="47"/>
        <v>0</v>
      </c>
      <c r="I245" s="160">
        <f>E245</f>
        <v>0</v>
      </c>
      <c r="J245" s="161">
        <f>J244*1.5</f>
        <v>0.82500000000000007</v>
      </c>
      <c r="K245" s="2"/>
      <c r="L245" s="2"/>
      <c r="M245" s="39">
        <f t="shared" si="48"/>
        <v>0</v>
      </c>
      <c r="N245" s="100">
        <f t="shared" si="49"/>
        <v>0</v>
      </c>
    </row>
    <row r="246" spans="1:14" x14ac:dyDescent="0.25">
      <c r="A246" s="173">
        <v>95</v>
      </c>
      <c r="B246" s="60" t="s">
        <v>10</v>
      </c>
      <c r="C246" s="54">
        <f t="shared" si="46"/>
        <v>0</v>
      </c>
      <c r="D246" s="29">
        <v>0</v>
      </c>
      <c r="E246" s="155">
        <v>0</v>
      </c>
      <c r="F246" s="2">
        <v>0</v>
      </c>
      <c r="G246" s="2"/>
      <c r="H246" s="160">
        <f t="shared" si="47"/>
        <v>0</v>
      </c>
      <c r="I246" s="155">
        <f>C246+D246+F246</f>
        <v>0</v>
      </c>
      <c r="J246" s="168">
        <v>0</v>
      </c>
      <c r="K246" s="2"/>
      <c r="L246" s="2"/>
      <c r="M246" s="39">
        <f t="shared" si="48"/>
        <v>0</v>
      </c>
      <c r="N246" s="100">
        <f>I246-M246</f>
        <v>0</v>
      </c>
    </row>
    <row r="247" spans="1:14" ht="15.75" thickBot="1" x14ac:dyDescent="0.3">
      <c r="A247" s="61" t="s">
        <v>11</v>
      </c>
      <c r="B247" s="62"/>
      <c r="C247" s="63">
        <f t="shared" ref="C247:I247" si="50">SUM(C226:C246)</f>
        <v>113690087.84224239</v>
      </c>
      <c r="D247" s="64">
        <f t="shared" si="50"/>
        <v>9146443.8649122305</v>
      </c>
      <c r="E247" s="64">
        <f t="shared" si="50"/>
        <v>0</v>
      </c>
      <c r="F247" s="23">
        <f t="shared" si="50"/>
        <v>0</v>
      </c>
      <c r="G247" s="27">
        <f t="shared" si="50"/>
        <v>0</v>
      </c>
      <c r="H247" s="63">
        <f t="shared" si="50"/>
        <v>4573221.9324561153</v>
      </c>
      <c r="I247" s="63">
        <f t="shared" si="50"/>
        <v>118263309.77469851</v>
      </c>
      <c r="J247" s="63" t="s">
        <v>0</v>
      </c>
      <c r="K247" s="63">
        <f>SUM(K226:K246)</f>
        <v>0</v>
      </c>
      <c r="L247" s="63">
        <f>SUM(L226:L246)</f>
        <v>0</v>
      </c>
      <c r="M247" s="63">
        <f>SUM(M226:M246)</f>
        <v>11013728.824415091</v>
      </c>
      <c r="N247" s="63">
        <f>SUM(N226:N246)</f>
        <v>111822802.88273953</v>
      </c>
    </row>
    <row r="248" spans="1:14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7"/>
  <sheetViews>
    <sheetView topLeftCell="A25" workbookViewId="0">
      <selection activeCell="F30" sqref="F30"/>
    </sheetView>
  </sheetViews>
  <sheetFormatPr defaultRowHeight="15" x14ac:dyDescent="0.25"/>
  <cols>
    <col min="1" max="1" width="8.140625" bestFit="1" customWidth="1"/>
    <col min="2" max="2" width="32.140625" bestFit="1" customWidth="1"/>
    <col min="3" max="3" width="14.28515625" bestFit="1" customWidth="1"/>
    <col min="4" max="4" width="5.42578125" bestFit="1" customWidth="1"/>
    <col min="5" max="5" width="10.140625" bestFit="1" customWidth="1"/>
    <col min="7" max="7" width="13.28515625" bestFit="1" customWidth="1"/>
    <col min="9" max="9" width="12.28515625" bestFit="1" customWidth="1"/>
    <col min="10" max="10" width="9.7109375" bestFit="1" customWidth="1"/>
  </cols>
  <sheetData>
    <row r="1" spans="1:5" x14ac:dyDescent="0.25">
      <c r="A1" s="6"/>
      <c r="B1" s="6"/>
      <c r="C1" s="6"/>
      <c r="D1" s="7"/>
    </row>
    <row r="2" spans="1:5" x14ac:dyDescent="0.25">
      <c r="A2" s="8"/>
      <c r="B2" s="6" t="s">
        <v>54</v>
      </c>
      <c r="C2" s="8" t="s">
        <v>0</v>
      </c>
      <c r="D2" s="7"/>
    </row>
    <row r="3" spans="1:5" x14ac:dyDescent="0.25">
      <c r="A3" s="6"/>
      <c r="B3" s="6"/>
      <c r="C3" s="6"/>
      <c r="D3" s="7"/>
    </row>
    <row r="4" spans="1:5" ht="45" x14ac:dyDescent="0.25">
      <c r="A4" s="6" t="s">
        <v>13</v>
      </c>
      <c r="B4" s="6" t="s">
        <v>3</v>
      </c>
      <c r="C4" s="9" t="s">
        <v>53</v>
      </c>
      <c r="D4" s="9" t="s">
        <v>14</v>
      </c>
    </row>
    <row r="5" spans="1:5" x14ac:dyDescent="0.25">
      <c r="A5" s="10">
        <v>1908</v>
      </c>
      <c r="B5" s="11" t="s">
        <v>15</v>
      </c>
      <c r="C5" s="12">
        <v>200000</v>
      </c>
      <c r="D5" s="13">
        <v>1</v>
      </c>
      <c r="E5" t="s">
        <v>0</v>
      </c>
    </row>
    <row r="6" spans="1:5" x14ac:dyDescent="0.25">
      <c r="A6" s="10"/>
      <c r="B6" s="11"/>
      <c r="C6" s="14"/>
      <c r="D6" s="13"/>
      <c r="E6" t="s">
        <v>0</v>
      </c>
    </row>
    <row r="7" spans="1:5" x14ac:dyDescent="0.25">
      <c r="A7" s="10">
        <v>1915</v>
      </c>
      <c r="B7" s="11" t="s">
        <v>16</v>
      </c>
      <c r="C7" s="14">
        <v>60000</v>
      </c>
      <c r="D7" s="13">
        <v>8</v>
      </c>
      <c r="E7" t="s">
        <v>0</v>
      </c>
    </row>
    <row r="8" spans="1:5" x14ac:dyDescent="0.25">
      <c r="A8" s="10">
        <v>1940</v>
      </c>
      <c r="B8" s="11" t="s">
        <v>17</v>
      </c>
      <c r="C8" s="14">
        <v>250000</v>
      </c>
      <c r="D8" s="13">
        <v>8</v>
      </c>
      <c r="E8" t="s">
        <v>0</v>
      </c>
    </row>
    <row r="9" spans="1:5" x14ac:dyDescent="0.25">
      <c r="A9" s="10">
        <v>1955</v>
      </c>
      <c r="B9" s="11" t="s">
        <v>18</v>
      </c>
      <c r="C9" s="14">
        <v>36870</v>
      </c>
      <c r="D9" s="13">
        <v>8</v>
      </c>
      <c r="E9" t="s">
        <v>0</v>
      </c>
    </row>
    <row r="10" spans="1:5" x14ac:dyDescent="0.25">
      <c r="A10" s="10">
        <v>1980</v>
      </c>
      <c r="B10" s="11" t="s">
        <v>19</v>
      </c>
      <c r="C10" s="20">
        <v>589330</v>
      </c>
      <c r="D10" s="13">
        <v>8</v>
      </c>
      <c r="E10" t="s">
        <v>0</v>
      </c>
    </row>
    <row r="11" spans="1:5" x14ac:dyDescent="0.25">
      <c r="A11" s="10">
        <v>1945</v>
      </c>
      <c r="B11" s="11" t="s">
        <v>45</v>
      </c>
      <c r="C11" s="20">
        <v>0</v>
      </c>
      <c r="D11" s="13">
        <v>8</v>
      </c>
    </row>
    <row r="12" spans="1:5" x14ac:dyDescent="0.25">
      <c r="A12" s="10">
        <v>1960</v>
      </c>
      <c r="B12" s="11" t="s">
        <v>20</v>
      </c>
      <c r="C12" s="16">
        <v>25000</v>
      </c>
      <c r="D12" s="13">
        <v>8</v>
      </c>
      <c r="E12" t="s">
        <v>0</v>
      </c>
    </row>
    <row r="13" spans="1:5" x14ac:dyDescent="0.25">
      <c r="A13" s="10"/>
      <c r="B13" s="11"/>
      <c r="C13" s="12">
        <f>SUM(C7:C12)</f>
        <v>961200</v>
      </c>
      <c r="D13" s="13"/>
      <c r="E13" t="s">
        <v>0</v>
      </c>
    </row>
    <row r="14" spans="1:5" x14ac:dyDescent="0.25">
      <c r="E14" t="s">
        <v>0</v>
      </c>
    </row>
    <row r="15" spans="1:5" x14ac:dyDescent="0.25">
      <c r="A15" s="10">
        <v>1930</v>
      </c>
      <c r="B15" s="11" t="s">
        <v>9</v>
      </c>
      <c r="C15" s="16">
        <v>1300000</v>
      </c>
      <c r="D15" s="13">
        <v>10</v>
      </c>
      <c r="E15" t="s">
        <v>0</v>
      </c>
    </row>
    <row r="16" spans="1:5" x14ac:dyDescent="0.25">
      <c r="A16" s="10"/>
      <c r="B16" s="11"/>
      <c r="C16" s="12"/>
      <c r="D16" s="13"/>
      <c r="E16" t="s">
        <v>0</v>
      </c>
    </row>
    <row r="17" spans="1:10" x14ac:dyDescent="0.25">
      <c r="A17" s="10">
        <v>1611</v>
      </c>
      <c r="B17" s="11" t="s">
        <v>21</v>
      </c>
      <c r="C17" s="16">
        <v>1012000</v>
      </c>
      <c r="D17" s="13">
        <v>12</v>
      </c>
      <c r="E17" t="s">
        <v>0</v>
      </c>
    </row>
    <row r="18" spans="1:10" x14ac:dyDescent="0.25">
      <c r="A18" s="10"/>
      <c r="B18" s="11"/>
      <c r="C18" s="12"/>
      <c r="D18" s="13"/>
    </row>
    <row r="19" spans="1:10" x14ac:dyDescent="0.25">
      <c r="A19" s="10">
        <v>1910</v>
      </c>
      <c r="B19" s="11" t="s">
        <v>22</v>
      </c>
      <c r="C19" s="16">
        <v>0</v>
      </c>
      <c r="D19" s="13">
        <v>13</v>
      </c>
      <c r="E19" t="s">
        <v>0</v>
      </c>
    </row>
    <row r="20" spans="1:10" x14ac:dyDescent="0.25">
      <c r="A20" s="10"/>
      <c r="B20" s="11"/>
      <c r="C20" s="12"/>
      <c r="D20" s="13"/>
      <c r="E20" t="s">
        <v>0</v>
      </c>
    </row>
    <row r="21" spans="1:10" x14ac:dyDescent="0.25">
      <c r="A21" s="10">
        <v>1725</v>
      </c>
      <c r="B21" s="11" t="s">
        <v>23</v>
      </c>
      <c r="C21" s="14">
        <v>609928</v>
      </c>
      <c r="D21" s="13">
        <v>47</v>
      </c>
      <c r="E21" t="s">
        <v>0</v>
      </c>
    </row>
    <row r="22" spans="1:10" x14ac:dyDescent="0.25">
      <c r="A22" s="10">
        <v>1730</v>
      </c>
      <c r="B22" s="11" t="s">
        <v>24</v>
      </c>
      <c r="C22" s="14">
        <v>690283</v>
      </c>
      <c r="D22" s="13">
        <v>47</v>
      </c>
      <c r="E22" t="s">
        <v>0</v>
      </c>
    </row>
    <row r="23" spans="1:10" x14ac:dyDescent="0.25">
      <c r="A23" s="10">
        <v>1815</v>
      </c>
      <c r="B23" s="11" t="s">
        <v>42</v>
      </c>
      <c r="C23" s="14"/>
      <c r="D23" s="13"/>
    </row>
    <row r="24" spans="1:10" x14ac:dyDescent="0.25">
      <c r="A24" s="10">
        <v>1820</v>
      </c>
      <c r="B24" s="11" t="s">
        <v>25</v>
      </c>
      <c r="C24" s="14">
        <v>4245836</v>
      </c>
      <c r="D24" s="13">
        <v>47</v>
      </c>
      <c r="E24" t="s">
        <v>0</v>
      </c>
    </row>
    <row r="25" spans="1:10" x14ac:dyDescent="0.25">
      <c r="A25" s="10">
        <v>1830</v>
      </c>
      <c r="B25" s="11" t="s">
        <v>26</v>
      </c>
      <c r="C25" s="14">
        <v>2403863</v>
      </c>
      <c r="D25" s="13">
        <v>47</v>
      </c>
      <c r="E25" t="s">
        <v>0</v>
      </c>
    </row>
    <row r="26" spans="1:10" x14ac:dyDescent="0.25">
      <c r="A26" s="10">
        <v>1835</v>
      </c>
      <c r="B26" s="11" t="s">
        <v>27</v>
      </c>
      <c r="C26" s="14">
        <v>1436209</v>
      </c>
      <c r="D26" s="13">
        <v>47</v>
      </c>
      <c r="E26" t="s">
        <v>0</v>
      </c>
    </row>
    <row r="27" spans="1:10" x14ac:dyDescent="0.25">
      <c r="A27" s="10">
        <v>1840</v>
      </c>
      <c r="B27" s="11" t="s">
        <v>28</v>
      </c>
      <c r="C27" s="14">
        <v>524299</v>
      </c>
      <c r="D27" s="13">
        <v>47</v>
      </c>
      <c r="E27" t="s">
        <v>0</v>
      </c>
    </row>
    <row r="28" spans="1:10" ht="15" customHeight="1" x14ac:dyDescent="0.25">
      <c r="A28" s="11">
        <v>1845</v>
      </c>
      <c r="B28" s="11" t="s">
        <v>29</v>
      </c>
      <c r="C28" s="14">
        <v>8348022</v>
      </c>
      <c r="D28" s="13">
        <v>47</v>
      </c>
      <c r="E28" t="s">
        <v>0</v>
      </c>
    </row>
    <row r="29" spans="1:10" x14ac:dyDescent="0.25">
      <c r="A29" s="11">
        <v>1850</v>
      </c>
      <c r="B29" s="11" t="s">
        <v>30</v>
      </c>
      <c r="C29" s="14">
        <v>4213479</v>
      </c>
      <c r="D29" s="13">
        <v>47</v>
      </c>
      <c r="E29" t="s">
        <v>0</v>
      </c>
      <c r="H29" t="s">
        <v>0</v>
      </c>
    </row>
    <row r="30" spans="1:10" x14ac:dyDescent="0.25">
      <c r="A30" s="6">
        <v>1995</v>
      </c>
      <c r="B30" s="6" t="s">
        <v>31</v>
      </c>
      <c r="C30" s="19">
        <v>-4825082</v>
      </c>
      <c r="D30" s="13">
        <v>47</v>
      </c>
      <c r="E30" t="s">
        <v>0</v>
      </c>
      <c r="H30" t="s">
        <v>34</v>
      </c>
      <c r="I30" s="15" t="s">
        <v>0</v>
      </c>
      <c r="J30" s="4" t="s">
        <v>0</v>
      </c>
    </row>
    <row r="31" spans="1:10" x14ac:dyDescent="0.25">
      <c r="A31" s="10">
        <v>1855</v>
      </c>
      <c r="B31" s="11" t="s">
        <v>32</v>
      </c>
      <c r="C31" s="14">
        <v>1355075</v>
      </c>
      <c r="D31" s="13">
        <v>47</v>
      </c>
      <c r="E31" t="s">
        <v>0</v>
      </c>
      <c r="H31" t="s">
        <v>0</v>
      </c>
    </row>
    <row r="32" spans="1:10" x14ac:dyDescent="0.25">
      <c r="A32" s="10">
        <v>1860</v>
      </c>
      <c r="B32" s="11" t="s">
        <v>33</v>
      </c>
      <c r="C32" s="21">
        <v>753000</v>
      </c>
      <c r="D32" s="13">
        <v>47</v>
      </c>
      <c r="E32" t="s">
        <v>0</v>
      </c>
    </row>
    <row r="33" spans="1:5" x14ac:dyDescent="0.25">
      <c r="A33" s="10"/>
      <c r="B33" s="11"/>
      <c r="C33" s="12">
        <f>SUM(C21:C32)</f>
        <v>19754912</v>
      </c>
      <c r="D33" s="13"/>
    </row>
    <row r="34" spans="1:5" x14ac:dyDescent="0.25">
      <c r="A34" s="10">
        <v>1920</v>
      </c>
      <c r="B34" s="11" t="s">
        <v>35</v>
      </c>
      <c r="C34" s="12">
        <v>363500</v>
      </c>
      <c r="D34" s="13">
        <v>50</v>
      </c>
    </row>
    <row r="35" spans="1:5" x14ac:dyDescent="0.25">
      <c r="A35" s="10"/>
      <c r="B35" s="11"/>
      <c r="C35" s="14"/>
      <c r="D35" s="13"/>
      <c r="E35" t="s">
        <v>0</v>
      </c>
    </row>
    <row r="36" spans="1:5" x14ac:dyDescent="0.25">
      <c r="A36" s="10">
        <v>1800</v>
      </c>
      <c r="B36" s="11" t="s">
        <v>36</v>
      </c>
      <c r="C36" s="17">
        <v>175000</v>
      </c>
      <c r="D36" s="13" t="s">
        <v>37</v>
      </c>
      <c r="E36" t="s">
        <v>0</v>
      </c>
    </row>
    <row r="37" spans="1:5" x14ac:dyDescent="0.25">
      <c r="A37" s="10">
        <v>1735</v>
      </c>
      <c r="B37" s="11" t="s">
        <v>38</v>
      </c>
      <c r="C37" s="12">
        <v>0</v>
      </c>
      <c r="D37" s="13">
        <v>47</v>
      </c>
      <c r="E37" t="s">
        <v>0</v>
      </c>
    </row>
    <row r="38" spans="1:5" x14ac:dyDescent="0.25">
      <c r="A38" s="10">
        <v>1740</v>
      </c>
      <c r="B38" s="11" t="s">
        <v>39</v>
      </c>
      <c r="C38" s="12">
        <v>0</v>
      </c>
      <c r="D38" s="13">
        <v>47</v>
      </c>
    </row>
    <row r="39" spans="1:5" x14ac:dyDescent="0.25">
      <c r="A39" s="10">
        <v>1806</v>
      </c>
      <c r="B39" s="11" t="s">
        <v>40</v>
      </c>
      <c r="C39" s="14">
        <v>0</v>
      </c>
      <c r="D39" s="13" t="s">
        <v>37</v>
      </c>
      <c r="E39" t="s">
        <v>0</v>
      </c>
    </row>
    <row r="40" spans="1:5" x14ac:dyDescent="0.25">
      <c r="A40" s="10">
        <v>1808</v>
      </c>
      <c r="B40" s="11" t="s">
        <v>41</v>
      </c>
      <c r="C40" s="14">
        <v>0</v>
      </c>
      <c r="D40" s="13"/>
    </row>
    <row r="41" spans="1:5" x14ac:dyDescent="0.25">
      <c r="A41" s="10">
        <v>1901</v>
      </c>
      <c r="B41" s="11" t="s">
        <v>40</v>
      </c>
      <c r="C41" s="14">
        <v>0</v>
      </c>
      <c r="D41" s="13"/>
    </row>
    <row r="42" spans="1:5" x14ac:dyDescent="0.25">
      <c r="A42" s="10">
        <v>1905</v>
      </c>
      <c r="B42" s="11" t="s">
        <v>43</v>
      </c>
      <c r="C42" s="17">
        <v>0</v>
      </c>
      <c r="D42" s="13"/>
    </row>
    <row r="43" spans="1:5" x14ac:dyDescent="0.25">
      <c r="A43" s="10">
        <v>1935</v>
      </c>
      <c r="B43" s="11" t="s">
        <v>44</v>
      </c>
      <c r="C43" s="14">
        <v>0</v>
      </c>
      <c r="D43" s="13"/>
    </row>
    <row r="44" spans="1:5" x14ac:dyDescent="0.25">
      <c r="A44" s="6">
        <v>1865</v>
      </c>
      <c r="B44" s="6" t="s">
        <v>46</v>
      </c>
      <c r="C44" s="14"/>
      <c r="D44" s="13"/>
    </row>
    <row r="45" spans="1:5" x14ac:dyDescent="0.25">
      <c r="A45" s="6"/>
      <c r="B45" s="6"/>
      <c r="C45" s="6"/>
      <c r="D45" s="7"/>
    </row>
    <row r="46" spans="1:5" x14ac:dyDescent="0.25">
      <c r="A46" s="6"/>
      <c r="E46" t="s">
        <v>0</v>
      </c>
    </row>
    <row r="47" spans="1:5" x14ac:dyDescent="0.25">
      <c r="A47" s="6">
        <v>2075</v>
      </c>
      <c r="B47" t="s">
        <v>47</v>
      </c>
      <c r="C47" s="25">
        <v>0</v>
      </c>
      <c r="D47" t="s">
        <v>0</v>
      </c>
    </row>
    <row r="48" spans="1:5" x14ac:dyDescent="0.25">
      <c r="A48" s="6"/>
      <c r="C48" s="25"/>
    </row>
    <row r="49" spans="1:7" x14ac:dyDescent="0.25">
      <c r="A49" s="6"/>
      <c r="B49" s="8" t="s">
        <v>11</v>
      </c>
      <c r="C49" s="18">
        <f>+C5+C13+C15+C17+C19+C33+C34+C36</f>
        <v>23766612</v>
      </c>
      <c r="D49" s="7"/>
    </row>
    <row r="50" spans="1:7" x14ac:dyDescent="0.25">
      <c r="B50" s="6" t="s">
        <v>0</v>
      </c>
      <c r="C50" s="6" t="s">
        <v>0</v>
      </c>
      <c r="D50" s="7"/>
      <c r="E50" t="s">
        <v>0</v>
      </c>
    </row>
    <row r="52" spans="1:7" x14ac:dyDescent="0.25">
      <c r="A52">
        <v>6040</v>
      </c>
      <c r="B52" t="s">
        <v>50</v>
      </c>
      <c r="C52" s="22">
        <v>0</v>
      </c>
      <c r="E52" t="s">
        <v>52</v>
      </c>
    </row>
    <row r="54" spans="1:7" x14ac:dyDescent="0.25">
      <c r="A54">
        <v>1612</v>
      </c>
      <c r="B54" t="s">
        <v>51</v>
      </c>
      <c r="C54">
        <v>0</v>
      </c>
    </row>
    <row r="55" spans="1:7" x14ac:dyDescent="0.25">
      <c r="A55">
        <v>1610</v>
      </c>
      <c r="B55" t="s">
        <v>49</v>
      </c>
      <c r="C55" s="24">
        <v>730000</v>
      </c>
    </row>
    <row r="56" spans="1:7" x14ac:dyDescent="0.25">
      <c r="E56" t="s">
        <v>55</v>
      </c>
      <c r="G56" t="s">
        <v>56</v>
      </c>
    </row>
    <row r="57" spans="1:7" x14ac:dyDescent="0.25">
      <c r="B57" t="s">
        <v>48</v>
      </c>
      <c r="C57" s="15">
        <f>C49+C54+C55</f>
        <v>24496612</v>
      </c>
      <c r="E57" s="26">
        <v>24496612</v>
      </c>
      <c r="G57" s="15">
        <f>C57-E57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B8C15D0BE76408B82A0742E168167" ma:contentTypeVersion="40" ma:contentTypeDescription="Create a new document." ma:contentTypeScope="" ma:versionID="fbf636a83ed33d1a8511b3ae1346ce36">
  <xsd:schema xmlns:xsd="http://www.w3.org/2001/XMLSchema" xmlns:xs="http://www.w3.org/2001/XMLSchema" xmlns:p="http://schemas.microsoft.com/office/2006/metadata/properties" xmlns:ns2="58d57b1b-a19e-4a29-a760-feed0c630544" targetNamespace="http://schemas.microsoft.com/office/2006/metadata/properties" ma:root="true" ma:fieldsID="cecec819ba6e4cd2c03a19d1e32a474f" ns2:_="">
    <xsd:import namespace="58d57b1b-a19e-4a29-a760-feed0c630544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BBA_Comments" minOccurs="0"/>
                <xsd:element ref="ns2:IRR" minOccurs="0"/>
                <xsd:element ref="ns2:ABlairStatu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57b1b-a19e-4a29-a760-feed0c630544" elementFormDefault="qualified">
    <xsd:import namespace="http://schemas.microsoft.com/office/2006/documentManagement/types"/>
    <xsd:import namespace="http://schemas.microsoft.com/office/infopath/2007/PartnerControls"/>
    <xsd:element name="IRR_x0020_Label" ma:index="8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9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10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11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12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13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14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15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16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7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8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9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20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ME_x0028_s_x0029_" ma:index="21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2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3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4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5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6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27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28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29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0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1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2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3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4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5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6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37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38" nillable="true" ma:displayName="Attachment" ma:default="0" ma:format="Dropdown" ma:internalName="Attachment">
      <xsd:simpleType>
        <xsd:restriction base="dms:Boolean"/>
      </xsd:simpleType>
    </xsd:element>
    <xsd:element name="GlenWinn" ma:index="39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0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1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BBA_Comments" ma:index="42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3" nillable="true" ma:displayName="Item (not IRR)" ma:default="0" ma:format="Dropdown" ma:internalName="IRR">
      <xsd:simpleType>
        <xsd:restriction base="dms:Boolean"/>
      </xsd:simpleType>
    </xsd:element>
    <xsd:element name="ABlairStatus" ma:index="44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58d57b1b-a19e-4a29-a760-feed0c630544">false</HasExcelAttachment>
    <MunishStatus xmlns="58d57b1b-a19e-4a29-a760-feed0c630544">N/A</MunishStatus>
    <TorysCounsel xmlns="58d57b1b-a19e-4a29-a760-feed0c630544">
      <Value>N/A</Value>
    </TorysCounsel>
    <CrossReference xmlns="58d57b1b-a19e-4a29-a760-feed0c630544" xsi:nil="true"/>
    <Issue_x002f_Theme xmlns="58d57b1b-a19e-4a29-a760-feed0c630544" xsi:nil="true"/>
    <Attachment xmlns="58d57b1b-a19e-4a29-a760-feed0c630544">false</Attachment>
    <ZubairStatus xmlns="58d57b1b-a19e-4a29-a760-feed0c630544">Witness signed off</ZubairStatus>
    <ExhibitRef xmlns="58d57b1b-a19e-4a29-a760-feed0c630544" xsi:nil="true"/>
    <BBA_DRP xmlns="58d57b1b-a19e-4a29-a760-feed0c630544">
      <UserInfo>
        <DisplayName/>
        <AccountId xsi:nil="true"/>
        <AccountType/>
      </UserInfo>
    </BBA_DRP>
    <AnchorIRR xmlns="58d57b1b-a19e-4a29-a760-feed0c630544">false</AnchorIRR>
    <StatusNotes xmlns="58d57b1b-a19e-4a29-a760-feed0c630544" xsi:nil="true"/>
    <KristonStatus xmlns="58d57b1b-a19e-4a29-a760-feed0c630544">N/A</KristonStatus>
    <CynthiaStatus xmlns="58d57b1b-a19e-4a29-a760-feed0c630544">N/A</CynthiaStatus>
    <IRR xmlns="58d57b1b-a19e-4a29-a760-feed0c630544">false</IRR>
    <Round2Topic xmlns="58d57b1b-a19e-4a29-a760-feed0c630544">false</Round2Topic>
    <IRR_x0020_Label xmlns="58d57b1b-a19e-4a29-a760-feed0c630544" xsi:nil="true"/>
    <Intervenor xmlns="58d57b1b-a19e-4a29-a760-feed0c630544">SEC</Intervenor>
    <UsmanStatus xmlns="58d57b1b-a19e-4a29-a760-feed0c630544">N/A</UsmanStatus>
    <S_x002e_VetsisStatus xmlns="58d57b1b-a19e-4a29-a760-feed0c630544">N/A</S_x002e_VetsisStatus>
    <Strategic_x003f_ xmlns="58d57b1b-a19e-4a29-a760-feed0c630544">false</Strategic_x003f_>
    <S_x002e_SheehyStatus xmlns="58d57b1b-a19e-4a29-a760-feed0c630544">N/A</S_x002e_SheehyStatus>
    <Ex_x002e_ xmlns="58d57b1b-a19e-4a29-a760-feed0c630544">Ex 1</Ex_x002e_>
    <LincolnStatus xmlns="58d57b1b-a19e-4a29-a760-feed0c630544">N/A</LincolnStatus>
    <BBA_Comments xmlns="58d57b1b-a19e-4a29-a760-feed0c630544" xsi:nil="true"/>
    <RegContact xmlns="58d57b1b-a19e-4a29-a760-feed0c630544">
      <Value>Carlisle</Value>
    </RegContact>
    <SaadStatus xmlns="58d57b1b-a19e-4a29-a760-feed0c630544">N/A</SaadStatus>
    <Witness_x0028_es_x0029_ xmlns="58d57b1b-a19e-4a29-a760-feed0c630544">
      <Value xmlns="58d57b1b-a19e-4a29-a760-feed0c630544">Zubair</Value>
    </Witness_x0028_es_x0029_>
    <Status xmlns="58d57b1b-a19e-4a29-a760-feed0c630544">Witness signed off</Status>
    <GlenWinn xmlns="58d57b1b-a19e-4a29-a760-feed0c630544">
      <UserInfo>
        <DisplayName/>
        <AccountId xsi:nil="true"/>
        <AccountType/>
      </UserInfo>
    </GlenWinn>
    <FinanceInputs_x002f_Validation xmlns="58d57b1b-a19e-4a29-a760-feed0c630544">N/A</FinanceInputs_x002f_Validation>
    <Confidential xmlns="58d57b1b-a19e-4a29-a760-feed0c630544">N/A</Confidential>
    <SME_x0028_s_x0029_ xmlns="58d57b1b-a19e-4a29-a760-feed0c630544">Ajay</SME_x0028_s_x0029_>
    <BradStatus xmlns="58d57b1b-a19e-4a29-a760-feed0c630544">N/A</BradStatus>
    <SamStatus xmlns="58d57b1b-a19e-4a29-a760-feed0c630544">N/A</SamStatus>
    <ErinIntervention xmlns="58d57b1b-a19e-4a29-a760-feed0c630544">false</ErinIntervention>
    <GeneralNotes xmlns="58d57b1b-a19e-4a29-a760-feed0c630544" xsi:nil="true"/>
    <ABlairStatus xmlns="58d57b1b-a19e-4a29-a760-feed0c630544">N/A</ABlairStatus>
  </documentManagement>
</p:properties>
</file>

<file path=customXml/itemProps1.xml><?xml version="1.0" encoding="utf-8"?>
<ds:datastoreItem xmlns:ds="http://schemas.openxmlformats.org/officeDocument/2006/customXml" ds:itemID="{E5A4740A-953B-4711-8965-D4638B846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16EE5-ED5E-4A11-A6A1-34B009134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57b1b-a19e-4a29-a760-feed0c630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8CC3F-BA13-4AE7-A691-C808484152A2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8d57b1b-a19e-4a29-a760-feed0c63054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VRZ and WRZ Combined Summary</vt:lpstr>
      <vt:lpstr>VRZ_Summary</vt:lpstr>
      <vt:lpstr>WRZ_Summary</vt:lpstr>
      <vt:lpstr>VRZ_CCA_w accel CCA</vt:lpstr>
      <vt:lpstr>VRZ_CCA - wo accel CCA</vt:lpstr>
      <vt:lpstr>WRZ_CCA - w accelerated</vt:lpstr>
      <vt:lpstr>WRZ_CCA - wo accelerated</vt:lpstr>
      <vt:lpstr>cap add 16 Q3 proj</vt:lpstr>
    </vt:vector>
  </TitlesOfParts>
  <Company>Veridian Connections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asharma</dc:creator>
  <cp:lastModifiedBy>Susan Kim</cp:lastModifiedBy>
  <cp:lastPrinted>2018-02-12T22:47:02Z</cp:lastPrinted>
  <dcterms:created xsi:type="dcterms:W3CDTF">2012-11-07T16:03:37Z</dcterms:created>
  <dcterms:modified xsi:type="dcterms:W3CDTF">2026-05-27T03:08:49Z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0x010100447B8C15D0BE76408B82A0742E168167</vt:lpwstr>
  </property>
</Properties>
</file>