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04 - Regulatory Affairs\NWS Application Filing 2025\Decision and Rate Order\Attachments\"/>
    </mc:Choice>
  </mc:AlternateContent>
  <xr:revisionPtr revIDLastSave="0" documentId="13_ncr:1_{10686DF1-779F-469F-98A0-01A6828124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WS Rate Riders_working paper" sheetId="3" r:id="rId1"/>
    <sheet name="Table 2" sheetId="1" r:id="rId2"/>
    <sheet name="Table 4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2" i="2"/>
  <c r="I13" i="2"/>
  <c r="I14" i="2"/>
  <c r="I15" i="2"/>
  <c r="I16" i="2"/>
  <c r="I5" i="2"/>
  <c r="R12" i="3"/>
  <c r="Q12" i="3"/>
  <c r="H18" i="3"/>
  <c r="G18" i="3"/>
  <c r="F18" i="3"/>
  <c r="D18" i="3"/>
  <c r="E12" i="3" s="1"/>
  <c r="J17" i="3"/>
  <c r="M17" i="3" s="1"/>
  <c r="M16" i="3"/>
  <c r="N16" i="3" s="1"/>
  <c r="R16" i="3" s="1"/>
  <c r="E16" i="2" s="1"/>
  <c r="L16" i="3"/>
  <c r="J16" i="3"/>
  <c r="I16" i="3"/>
  <c r="K16" i="3" s="1"/>
  <c r="Q16" i="3" s="1"/>
  <c r="D16" i="2" s="1"/>
  <c r="L15" i="3"/>
  <c r="J15" i="3"/>
  <c r="M15" i="3" s="1"/>
  <c r="I15" i="3"/>
  <c r="K15" i="3" s="1"/>
  <c r="Q15" i="3" s="1"/>
  <c r="D15" i="2" s="1"/>
  <c r="L14" i="3"/>
  <c r="J14" i="3"/>
  <c r="M14" i="3" s="1"/>
  <c r="I14" i="3"/>
  <c r="K14" i="3" s="1"/>
  <c r="Q14" i="3" s="1"/>
  <c r="D14" i="2" s="1"/>
  <c r="E14" i="3"/>
  <c r="L13" i="3"/>
  <c r="J13" i="3"/>
  <c r="M13" i="3" s="1"/>
  <c r="N13" i="3" s="1"/>
  <c r="R13" i="3" s="1"/>
  <c r="E13" i="2" s="1"/>
  <c r="I13" i="3"/>
  <c r="K13" i="3" s="1"/>
  <c r="Q13" i="3" s="1"/>
  <c r="D13" i="2" s="1"/>
  <c r="L12" i="3"/>
  <c r="N12" i="3" s="1"/>
  <c r="E12" i="2" s="1"/>
  <c r="J12" i="3"/>
  <c r="M12" i="3" s="1"/>
  <c r="I12" i="3"/>
  <c r="K12" i="3" s="1"/>
  <c r="D12" i="2" s="1"/>
  <c r="L11" i="3"/>
  <c r="J11" i="3"/>
  <c r="M11" i="3" s="1"/>
  <c r="I11" i="3"/>
  <c r="K11" i="3" s="1"/>
  <c r="Q11" i="3" s="1"/>
  <c r="D11" i="2" s="1"/>
  <c r="E11" i="3"/>
  <c r="L10" i="3"/>
  <c r="N10" i="3" s="1"/>
  <c r="R10" i="3" s="1"/>
  <c r="E10" i="2" s="1"/>
  <c r="J10" i="3"/>
  <c r="M10" i="3" s="1"/>
  <c r="I10" i="3"/>
  <c r="K10" i="3" s="1"/>
  <c r="Q10" i="3" s="1"/>
  <c r="D10" i="2" s="1"/>
  <c r="L9" i="3"/>
  <c r="J9" i="3"/>
  <c r="M9" i="3" s="1"/>
  <c r="I9" i="3"/>
  <c r="K9" i="3" s="1"/>
  <c r="Q9" i="3" s="1"/>
  <c r="D9" i="2" s="1"/>
  <c r="L8" i="3"/>
  <c r="J8" i="3"/>
  <c r="M8" i="3" s="1"/>
  <c r="I8" i="3"/>
  <c r="K8" i="3" s="1"/>
  <c r="Q8" i="3" s="1"/>
  <c r="D8" i="2" s="1"/>
  <c r="L7" i="3"/>
  <c r="J7" i="3"/>
  <c r="M7" i="3" s="1"/>
  <c r="I7" i="3"/>
  <c r="K7" i="3" s="1"/>
  <c r="Q7" i="3" s="1"/>
  <c r="D7" i="2" s="1"/>
  <c r="L6" i="3"/>
  <c r="J6" i="3"/>
  <c r="M6" i="3" s="1"/>
  <c r="I6" i="3"/>
  <c r="I18" i="3" s="1"/>
  <c r="L5" i="3"/>
  <c r="L18" i="3" s="1"/>
  <c r="J5" i="3"/>
  <c r="M5" i="3" s="1"/>
  <c r="I5" i="3"/>
  <c r="N15" i="1"/>
  <c r="E18" i="1"/>
  <c r="F18" i="1"/>
  <c r="D18" i="1"/>
  <c r="E14" i="1" s="1"/>
  <c r="I18" i="1"/>
  <c r="H18" i="1"/>
  <c r="G18" i="1"/>
  <c r="E15" i="1"/>
  <c r="E5" i="1"/>
  <c r="M7" i="1"/>
  <c r="M14" i="1"/>
  <c r="N14" i="1" s="1"/>
  <c r="M15" i="1"/>
  <c r="M16" i="1"/>
  <c r="M17" i="1"/>
  <c r="L16" i="1"/>
  <c r="L15" i="1"/>
  <c r="L14" i="1"/>
  <c r="L13" i="1"/>
  <c r="L12" i="1"/>
  <c r="L11" i="1"/>
  <c r="L10" i="1"/>
  <c r="L9" i="1"/>
  <c r="L8" i="1"/>
  <c r="L7" i="1"/>
  <c r="L6" i="1"/>
  <c r="L5" i="1"/>
  <c r="L18" i="1" s="1"/>
  <c r="K7" i="1"/>
  <c r="K6" i="1"/>
  <c r="I16" i="1"/>
  <c r="I15" i="1"/>
  <c r="I14" i="1"/>
  <c r="I13" i="1"/>
  <c r="I12" i="1"/>
  <c r="I11" i="1"/>
  <c r="I10" i="1"/>
  <c r="I9" i="1"/>
  <c r="I8" i="1"/>
  <c r="I7" i="1"/>
  <c r="I6" i="1"/>
  <c r="I5" i="1"/>
  <c r="K5" i="1" s="1"/>
  <c r="J17" i="1"/>
  <c r="J16" i="1"/>
  <c r="K16" i="1" s="1"/>
  <c r="J15" i="1"/>
  <c r="K15" i="1" s="1"/>
  <c r="J14" i="1"/>
  <c r="J13" i="1"/>
  <c r="M13" i="1" s="1"/>
  <c r="N13" i="1" s="1"/>
  <c r="J12" i="1"/>
  <c r="M12" i="1" s="1"/>
  <c r="N12" i="1" s="1"/>
  <c r="J11" i="1"/>
  <c r="K11" i="1" s="1"/>
  <c r="J10" i="1"/>
  <c r="M10" i="1" s="1"/>
  <c r="N10" i="1" s="1"/>
  <c r="J9" i="1"/>
  <c r="K9" i="1" s="1"/>
  <c r="J8" i="1"/>
  <c r="M8" i="1" s="1"/>
  <c r="J7" i="1"/>
  <c r="J6" i="1"/>
  <c r="M6" i="1" s="1"/>
  <c r="J5" i="1"/>
  <c r="M5" i="1" s="1"/>
  <c r="N6" i="3" l="1"/>
  <c r="R6" i="3" s="1"/>
  <c r="E6" i="2" s="1"/>
  <c r="H7" i="2"/>
  <c r="N7" i="3"/>
  <c r="R7" i="3" s="1"/>
  <c r="E7" i="2" s="1"/>
  <c r="N14" i="3"/>
  <c r="R14" i="3" s="1"/>
  <c r="E14" i="2" s="1"/>
  <c r="F16" i="2"/>
  <c r="H16" i="2"/>
  <c r="G13" i="2"/>
  <c r="H9" i="2"/>
  <c r="G16" i="2"/>
  <c r="G12" i="2"/>
  <c r="H13" i="2"/>
  <c r="F13" i="2"/>
  <c r="N8" i="3"/>
  <c r="R8" i="3" s="1"/>
  <c r="E8" i="2" s="1"/>
  <c r="H8" i="2" s="1"/>
  <c r="N9" i="3"/>
  <c r="R9" i="3" s="1"/>
  <c r="E9" i="2" s="1"/>
  <c r="F9" i="2" s="1"/>
  <c r="N15" i="3"/>
  <c r="R15" i="3" s="1"/>
  <c r="E15" i="2" s="1"/>
  <c r="F10" i="2"/>
  <c r="H10" i="2"/>
  <c r="G10" i="2"/>
  <c r="F11" i="2"/>
  <c r="N11" i="3"/>
  <c r="R11" i="3" s="1"/>
  <c r="E11" i="2" s="1"/>
  <c r="H11" i="2" s="1"/>
  <c r="H12" i="2"/>
  <c r="F12" i="2"/>
  <c r="K5" i="3"/>
  <c r="Q5" i="3" s="1"/>
  <c r="D5" i="2" s="1"/>
  <c r="E6" i="3"/>
  <c r="K6" i="3"/>
  <c r="Q6" i="3" s="1"/>
  <c r="D6" i="2" s="1"/>
  <c r="E7" i="3"/>
  <c r="E16" i="3"/>
  <c r="E5" i="3"/>
  <c r="E9" i="3"/>
  <c r="E15" i="3"/>
  <c r="E10" i="3"/>
  <c r="E13" i="3"/>
  <c r="E8" i="3"/>
  <c r="N5" i="3"/>
  <c r="R5" i="3" s="1"/>
  <c r="E5" i="2" s="1"/>
  <c r="K14" i="1"/>
  <c r="N16" i="1"/>
  <c r="N7" i="1"/>
  <c r="N5" i="1"/>
  <c r="N6" i="1"/>
  <c r="N8" i="1"/>
  <c r="K8" i="1"/>
  <c r="K13" i="1"/>
  <c r="K10" i="1"/>
  <c r="M11" i="1"/>
  <c r="N11" i="1" s="1"/>
  <c r="K12" i="1"/>
  <c r="M9" i="1"/>
  <c r="N9" i="1" s="1"/>
  <c r="E6" i="1"/>
  <c r="E7" i="1"/>
  <c r="E8" i="1"/>
  <c r="E9" i="1"/>
  <c r="E10" i="1"/>
  <c r="E11" i="1"/>
  <c r="E12" i="1"/>
  <c r="E16" i="1"/>
  <c r="E13" i="1"/>
  <c r="H6" i="2" l="1"/>
  <c r="F6" i="2"/>
  <c r="G14" i="2"/>
  <c r="G5" i="2"/>
  <c r="G15" i="2"/>
  <c r="G9" i="2"/>
  <c r="F15" i="2"/>
  <c r="G7" i="2"/>
  <c r="G11" i="2"/>
  <c r="F14" i="2"/>
  <c r="H14" i="2"/>
  <c r="H15" i="2"/>
  <c r="F7" i="2"/>
  <c r="H5" i="2"/>
  <c r="F5" i="2"/>
  <c r="G8" i="2"/>
  <c r="E18" i="3"/>
  <c r="F8" i="2"/>
  <c r="G6" i="2"/>
</calcChain>
</file>

<file path=xl/sharedStrings.xml><?xml version="1.0" encoding="utf-8"?>
<sst xmlns="http://schemas.openxmlformats.org/spreadsheetml/2006/main" count="120" uniqueCount="46">
  <si>
    <t>Energy+ Rate Zone</t>
  </si>
  <si>
    <t>Unit</t>
  </si>
  <si>
    <t>Distribution Revenue ($)</t>
  </si>
  <si>
    <t>Distribution Revenue (%)</t>
  </si>
  <si>
    <t>Total Metered kWh</t>
  </si>
  <si>
    <t>Total Metered kW</t>
  </si>
  <si>
    <t>Rate Class</t>
  </si>
  <si>
    <t>RESIDENTIAL SERVICE CLASSIFICATION</t>
  </si>
  <si>
    <t>kWh</t>
  </si>
  <si>
    <t>GENERAL SERVICE LESS THAN 50 KW SERVICE CLASSIFICATION</t>
  </si>
  <si>
    <t>GENERAL SERVICE 50 TO 999 KW SERVICE CLASSIFICATION</t>
  </si>
  <si>
    <t>kW</t>
  </si>
  <si>
    <t>GENERAL SERVICE 1,000 TO 4,999 KW SERVICE CLASSIFICATION</t>
  </si>
  <si>
    <t>LARGE USE SERVICE CLASSIFICATION</t>
  </si>
  <si>
    <t>UNMETERED SCATTERED LOAD SERVICE CLASSIFICATION</t>
  </si>
  <si>
    <t>STREET LIGHTING SERVICE CLASSIFICATION</t>
  </si>
  <si>
    <t>SENTINEL LIGHTING SERVICE CLASSIFICATION</t>
  </si>
  <si>
    <t>EMBEDDED DISTRIBUTOR SERVICE CLASSIFICATION - HYDRO ONE CND</t>
  </si>
  <si>
    <t>EMBEDDED DISTRIBUTOR SERVICE CLASSIFICATION - WATERLOO</t>
  </si>
  <si>
    <t>EMBEDDED DISTRIBUTOR SERVICE CLASSIFICATION - BRANTFORD</t>
  </si>
  <si>
    <t>EMBEDDED DISTRIBUTOR SERVICE CLASSIFICATION - HYDRO ONE #1</t>
  </si>
  <si>
    <t>EMBEDDED DISTRIBUTOR SERVICE CLASSIFICATION - HYDRO ONE #2</t>
  </si>
  <si>
    <t xml:space="preserve"> -  </t>
  </si>
  <si>
    <t>Total</t>
  </si>
  <si>
    <t>Distribution Bill</t>
  </si>
  <si>
    <t>Total Bill</t>
  </si>
  <si>
    <t>Allocated Revenue
(Aug 1, 2026 - Dec 31, 2028)</t>
  </si>
  <si>
    <t>29 Months Kwh/KW
(Aug 1 - Dec 31, 2028)</t>
  </si>
  <si>
    <t>Variable Rate Riders
(Aug 1, 2026 - Dec 31, 2028)</t>
  </si>
  <si>
    <t>Typical Monthly Usage (kWh/KW)</t>
  </si>
  <si>
    <t>Total Impact
(Aug 1, 2027 - Dec 31, 2028)</t>
  </si>
  <si>
    <t>Total Allocated Revenue Requirement</t>
  </si>
  <si>
    <t>Foregone Revenue Rate Riders - Monthly Impact
(May 1 - July 30, 2026)</t>
  </si>
  <si>
    <t>Allocated Foregone Revenue Requirement
(May 1, 2026 - July 31, 2026)</t>
  </si>
  <si>
    <t>Foregone Revenue Rate Riders
(Aug 1, 2026 - July 31, 2027)</t>
  </si>
  <si>
    <t>12 Months Kwh/KW
(Aug 1, 2026 - July 31, 2027)</t>
  </si>
  <si>
    <t>Table 2:  Average Rate Riders for the NWS Program Cost Recovery</t>
  </si>
  <si>
    <t>29 Months Kwh/KW
(Aug 1, 2026 - Dec 31, 2028)</t>
  </si>
  <si>
    <t>Variable Rate Rider Monthly Charge
(Aug 1, 2026 - Dec 31, 2028)</t>
  </si>
  <si>
    <t>Foregone Rate Rider Monthly Charge
(Aug 1, 2026 - July 31, 2027)</t>
  </si>
  <si>
    <t>Total Impact
(Aug 1, 2026 - July 31, 2027)</t>
  </si>
  <si>
    <t>Distribution Impact
(Aug 1, 2026 - July 31, 2027)</t>
  </si>
  <si>
    <t>Distribution Impact
(Aug 1, 2027 - Dec 31, 2028)</t>
  </si>
  <si>
    <t>NWS Program Rate Riders- Working Papers</t>
  </si>
  <si>
    <t>Variable Rate Riders - Monthly Impact
(Aug 1, 2026 - Dec 31, 2028)</t>
  </si>
  <si>
    <t>Table 4: Typical Bill Impacts of the NWS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</si>
</sst>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#,##0.00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b/>
      <sz val="1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80808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3" fontId="0" fillId="0" borderId="0" xfId="0" applyNumberFormat="1"/>
    <xf numFmtId="3" fontId="6" fillId="0" borderId="1" xfId="0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/>
    <xf numFmtId="0" fontId="6" fillId="0" borderId="1" xfId="0" applyFont="1" applyBorder="1"/>
    <xf numFmtId="3" fontId="7" fillId="0" borderId="1" xfId="0" applyNumberFormat="1" applyFont="1" applyBorder="1"/>
    <xf numFmtId="0" fontId="7" fillId="0" borderId="1" xfId="0" applyFont="1" applyBorder="1"/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2" borderId="3" xfId="0" applyFont="1" applyFill="1" applyBorder="1"/>
    <xf numFmtId="3" fontId="8" fillId="2" borderId="3" xfId="0" applyNumberFormat="1" applyFont="1" applyFill="1" applyBorder="1" applyAlignment="1">
      <alignment horizontal="center"/>
    </xf>
    <xf numFmtId="3" fontId="8" fillId="2" borderId="3" xfId="0" applyNumberFormat="1" applyFont="1" applyFill="1" applyBorder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8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9" fontId="0" fillId="0" borderId="0" xfId="2" applyFont="1"/>
    <xf numFmtId="10" fontId="0" fillId="0" borderId="0" xfId="2" applyNumberFormat="1" applyFont="1"/>
    <xf numFmtId="43" fontId="0" fillId="0" borderId="0" xfId="1" applyFont="1"/>
    <xf numFmtId="3" fontId="2" fillId="0" borderId="0" xfId="0" applyNumberFormat="1" applyFont="1"/>
    <xf numFmtId="164" fontId="7" fillId="0" borderId="1" xfId="0" applyNumberFormat="1" applyFont="1" applyBorder="1"/>
    <xf numFmtId="165" fontId="7" fillId="0" borderId="1" xfId="1" applyNumberFormat="1" applyFont="1" applyBorder="1"/>
    <xf numFmtId="3" fontId="8" fillId="2" borderId="3" xfId="0" applyNumberFormat="1" applyFont="1" applyFill="1" applyBorder="1" applyAlignment="1">
      <alignment horizontal="right"/>
    </xf>
    <xf numFmtId="10" fontId="8" fillId="2" borderId="3" xfId="2" applyNumberFormat="1" applyFont="1" applyFill="1" applyBorder="1" applyAlignment="1">
      <alignment horizontal="center"/>
    </xf>
    <xf numFmtId="0" fontId="2" fillId="0" borderId="0" xfId="0" applyFont="1"/>
    <xf numFmtId="8" fontId="7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338E-B6F9-4F28-AB4F-B9F655877C1D}">
  <dimension ref="A1:T18"/>
  <sheetViews>
    <sheetView tabSelected="1" workbookViewId="0">
      <selection activeCell="T26" sqref="T26"/>
    </sheetView>
  </sheetViews>
  <sheetFormatPr defaultRowHeight="14.4" x14ac:dyDescent="0.3"/>
  <cols>
    <col min="1" max="1" width="62.33203125" customWidth="1"/>
    <col min="2" max="2" width="1.44140625" customWidth="1"/>
    <col min="4" max="4" width="16.88671875" customWidth="1"/>
    <col min="5" max="5" width="14.88671875" customWidth="1"/>
    <col min="6" max="6" width="16.77734375" customWidth="1"/>
    <col min="7" max="8" width="13" customWidth="1"/>
    <col min="9" max="9" width="16.21875" customWidth="1"/>
    <col min="10" max="10" width="16.77734375" customWidth="1"/>
    <col min="11" max="11" width="13.5546875" customWidth="1"/>
    <col min="12" max="12" width="13" customWidth="1"/>
    <col min="13" max="13" width="16.77734375" customWidth="1"/>
    <col min="14" max="14" width="13" customWidth="1"/>
    <col min="16" max="16" width="13" customWidth="1"/>
    <col min="17" max="17" width="19.5546875" customWidth="1"/>
    <col min="18" max="18" width="20.44140625" customWidth="1"/>
    <col min="20" max="20" width="11.6640625" customWidth="1"/>
    <col min="21" max="21" width="13.5546875" customWidth="1"/>
    <col min="22" max="22" width="11.44140625" customWidth="1"/>
  </cols>
  <sheetData>
    <row r="1" spans="1:20" x14ac:dyDescent="0.3">
      <c r="A1" t="s">
        <v>43</v>
      </c>
    </row>
    <row r="3" spans="1:20" ht="14.4" customHeight="1" x14ac:dyDescent="0.3">
      <c r="A3" s="1" t="s">
        <v>0</v>
      </c>
      <c r="B3" s="1"/>
      <c r="C3" s="41" t="s">
        <v>1</v>
      </c>
      <c r="D3" s="39" t="s">
        <v>2</v>
      </c>
      <c r="E3" s="39" t="s">
        <v>3</v>
      </c>
      <c r="F3" s="39" t="s">
        <v>4</v>
      </c>
      <c r="G3" s="39" t="s">
        <v>5</v>
      </c>
      <c r="H3" s="39" t="s">
        <v>31</v>
      </c>
      <c r="I3" s="39" t="s">
        <v>33</v>
      </c>
      <c r="J3" s="39" t="s">
        <v>35</v>
      </c>
      <c r="K3" s="39" t="s">
        <v>34</v>
      </c>
      <c r="L3" s="39" t="s">
        <v>26</v>
      </c>
      <c r="M3" s="39" t="s">
        <v>27</v>
      </c>
      <c r="N3" s="39" t="s">
        <v>28</v>
      </c>
      <c r="P3" s="39" t="s">
        <v>29</v>
      </c>
      <c r="Q3" s="39" t="s">
        <v>32</v>
      </c>
      <c r="R3" s="39" t="s">
        <v>44</v>
      </c>
    </row>
    <row r="4" spans="1:20" ht="57.6" customHeight="1" x14ac:dyDescent="0.3">
      <c r="A4" s="2" t="s">
        <v>6</v>
      </c>
      <c r="B4" s="2"/>
      <c r="C4" s="4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P4" s="40"/>
      <c r="Q4" s="40"/>
      <c r="R4" s="40"/>
    </row>
    <row r="5" spans="1:20" x14ac:dyDescent="0.3">
      <c r="A5" s="3" t="s">
        <v>7</v>
      </c>
      <c r="B5" s="3"/>
      <c r="C5" s="4" t="s">
        <v>8</v>
      </c>
      <c r="D5" s="6">
        <v>17528594.544314601</v>
      </c>
      <c r="E5" s="7">
        <f>D5/D$18</f>
        <v>0.51843958439814752</v>
      </c>
      <c r="F5" s="8">
        <v>542709487.01999998</v>
      </c>
      <c r="G5" s="9">
        <v>0</v>
      </c>
      <c r="H5" s="30">
        <v>1415404.6552202001</v>
      </c>
      <c r="I5" s="10">
        <f>H5*3/32</f>
        <v>132694.18642689375</v>
      </c>
      <c r="J5" s="8">
        <f>IF(C5="KWh",F5,G5)</f>
        <v>542709487.01999998</v>
      </c>
      <c r="K5" s="29">
        <f>ROUND(I5/J5,4)</f>
        <v>2.0000000000000001E-4</v>
      </c>
      <c r="L5" s="10">
        <f>H5*29/32</f>
        <v>1282710.4687933063</v>
      </c>
      <c r="M5" s="8">
        <f>IF(F5="KWh",I5*29/12,J5*29/12)</f>
        <v>1311547926.9649999</v>
      </c>
      <c r="N5" s="29">
        <f>ROUND(L5/M5,4)</f>
        <v>1E-3</v>
      </c>
      <c r="P5" s="11">
        <v>750</v>
      </c>
      <c r="Q5" s="29">
        <f>K5*P5</f>
        <v>0.15</v>
      </c>
      <c r="R5" s="29">
        <f>N5*P5</f>
        <v>0.75</v>
      </c>
      <c r="T5" s="35"/>
    </row>
    <row r="6" spans="1:20" x14ac:dyDescent="0.3">
      <c r="A6" s="3" t="s">
        <v>9</v>
      </c>
      <c r="B6" s="3"/>
      <c r="C6" s="4" t="s">
        <v>8</v>
      </c>
      <c r="D6" s="6">
        <v>4131617.4822672899</v>
      </c>
      <c r="E6" s="7">
        <f t="shared" ref="E6:E16" si="0">D6/D$18</f>
        <v>0.12219998842368855</v>
      </c>
      <c r="F6" s="8">
        <v>218827694.66</v>
      </c>
      <c r="G6" s="8">
        <v>3759.09</v>
      </c>
      <c r="H6" s="30">
        <v>333621.19268638402</v>
      </c>
      <c r="I6" s="10">
        <f t="shared" ref="I6:I16" si="1">H6*3/32</f>
        <v>31276.9868143485</v>
      </c>
      <c r="J6" s="8">
        <f t="shared" ref="J6:J17" si="2">IF(C6="KWh",F6,G6)</f>
        <v>218827694.66</v>
      </c>
      <c r="K6" s="29">
        <f t="shared" ref="K6:K16" si="3">ROUND(I6/J6,4)</f>
        <v>1E-4</v>
      </c>
      <c r="L6" s="10">
        <f t="shared" ref="L6:L16" si="4">H6*29/32</f>
        <v>302344.20587203553</v>
      </c>
      <c r="M6" s="8">
        <f t="shared" ref="M6:M17" si="5">IF(F6="KWh",I6*29/12,J6*29/12)</f>
        <v>528833595.42833334</v>
      </c>
      <c r="N6" s="29">
        <f t="shared" ref="N6:N16" si="6">ROUND(L6/M6,4)</f>
        <v>5.9999999999999995E-4</v>
      </c>
      <c r="P6" s="10">
        <v>2000</v>
      </c>
      <c r="Q6" s="29">
        <f t="shared" ref="Q6:Q16" si="7">K6*P6</f>
        <v>0.2</v>
      </c>
      <c r="R6" s="29">
        <f t="shared" ref="R6:R16" si="8">N6*P6</f>
        <v>1.2</v>
      </c>
      <c r="T6" s="35"/>
    </row>
    <row r="7" spans="1:20" x14ac:dyDescent="0.3">
      <c r="A7" s="3" t="s">
        <v>10</v>
      </c>
      <c r="B7" s="3"/>
      <c r="C7" s="4" t="s">
        <v>11</v>
      </c>
      <c r="D7" s="6">
        <v>7613421.8317788597</v>
      </c>
      <c r="E7" s="7">
        <f t="shared" si="0"/>
        <v>0.22518058936992508</v>
      </c>
      <c r="F7" s="8">
        <v>562895601.35000002</v>
      </c>
      <c r="G7" s="8">
        <v>1691497.11</v>
      </c>
      <c r="H7" s="30">
        <v>614771.06311128102</v>
      </c>
      <c r="I7" s="10">
        <f t="shared" si="1"/>
        <v>57634.787166682596</v>
      </c>
      <c r="J7" s="8">
        <f t="shared" si="2"/>
        <v>1691497.11</v>
      </c>
      <c r="K7" s="29">
        <f t="shared" si="3"/>
        <v>3.4099999999999998E-2</v>
      </c>
      <c r="L7" s="10">
        <f t="shared" si="4"/>
        <v>557136.27594459848</v>
      </c>
      <c r="M7" s="8">
        <f t="shared" si="5"/>
        <v>4087784.6825000006</v>
      </c>
      <c r="N7" s="29">
        <f t="shared" si="6"/>
        <v>0.1363</v>
      </c>
      <c r="P7" s="11">
        <v>60</v>
      </c>
      <c r="Q7" s="29">
        <f t="shared" si="7"/>
        <v>2.0459999999999998</v>
      </c>
      <c r="R7" s="29">
        <f t="shared" si="8"/>
        <v>8.1780000000000008</v>
      </c>
      <c r="T7" s="35"/>
    </row>
    <row r="8" spans="1:20" x14ac:dyDescent="0.3">
      <c r="A8" s="3" t="s">
        <v>12</v>
      </c>
      <c r="B8" s="3"/>
      <c r="C8" s="4" t="s">
        <v>11</v>
      </c>
      <c r="D8" s="6">
        <v>2356119.03726864</v>
      </c>
      <c r="E8" s="7">
        <f t="shared" si="0"/>
        <v>6.9686441282328163E-2</v>
      </c>
      <c r="F8" s="8">
        <v>187259712</v>
      </c>
      <c r="G8" s="8">
        <v>456520.64</v>
      </c>
      <c r="H8" s="30">
        <v>190252.66658841301</v>
      </c>
      <c r="I8" s="10">
        <f t="shared" si="1"/>
        <v>17836.187492663717</v>
      </c>
      <c r="J8" s="8">
        <f t="shared" si="2"/>
        <v>456520.64</v>
      </c>
      <c r="K8" s="29">
        <f t="shared" si="3"/>
        <v>3.9100000000000003E-2</v>
      </c>
      <c r="L8" s="10">
        <f t="shared" si="4"/>
        <v>172416.4790957493</v>
      </c>
      <c r="M8" s="8">
        <f t="shared" si="5"/>
        <v>1103258.2133333334</v>
      </c>
      <c r="N8" s="29">
        <f t="shared" si="6"/>
        <v>0.15629999999999999</v>
      </c>
      <c r="P8" s="10">
        <v>2000</v>
      </c>
      <c r="Q8" s="29">
        <f t="shared" si="7"/>
        <v>78.2</v>
      </c>
      <c r="R8" s="29">
        <f t="shared" si="8"/>
        <v>312.59999999999997</v>
      </c>
      <c r="T8" s="35"/>
    </row>
    <row r="9" spans="1:20" x14ac:dyDescent="0.3">
      <c r="A9" s="3" t="s">
        <v>13</v>
      </c>
      <c r="B9" s="3"/>
      <c r="C9" s="4" t="s">
        <v>11</v>
      </c>
      <c r="D9" s="6">
        <v>1040060.59083473</v>
      </c>
      <c r="E9" s="7">
        <f t="shared" si="0"/>
        <v>3.076165514000901E-2</v>
      </c>
      <c r="F9" s="8">
        <v>159015613.34999999</v>
      </c>
      <c r="G9" s="8">
        <v>328260.69</v>
      </c>
      <c r="H9" s="30">
        <v>83983.150974076794</v>
      </c>
      <c r="I9" s="10">
        <f t="shared" si="1"/>
        <v>7873.4204038196995</v>
      </c>
      <c r="J9" s="8">
        <f t="shared" si="2"/>
        <v>328260.69</v>
      </c>
      <c r="K9" s="29">
        <f t="shared" si="3"/>
        <v>2.4E-2</v>
      </c>
      <c r="L9" s="10">
        <f t="shared" si="4"/>
        <v>76109.730570257088</v>
      </c>
      <c r="M9" s="8">
        <f t="shared" si="5"/>
        <v>793296.66749999998</v>
      </c>
      <c r="N9" s="29">
        <f t="shared" si="6"/>
        <v>9.5899999999999999E-2</v>
      </c>
      <c r="P9" s="10">
        <v>16000</v>
      </c>
      <c r="Q9" s="29">
        <f t="shared" si="7"/>
        <v>384</v>
      </c>
      <c r="R9" s="29">
        <f t="shared" si="8"/>
        <v>1534.4</v>
      </c>
      <c r="T9" s="35"/>
    </row>
    <row r="10" spans="1:20" x14ac:dyDescent="0.3">
      <c r="A10" s="3" t="s">
        <v>14</v>
      </c>
      <c r="B10" s="3"/>
      <c r="C10" s="4" t="s">
        <v>8</v>
      </c>
      <c r="D10" s="6">
        <v>64041.929412203201</v>
      </c>
      <c r="E10" s="7">
        <f t="shared" si="0"/>
        <v>1.894154787172435E-3</v>
      </c>
      <c r="F10" s="8">
        <v>2164672.56</v>
      </c>
      <c r="G10" s="9">
        <v>0</v>
      </c>
      <c r="H10" s="30">
        <v>5171.2785523193297</v>
      </c>
      <c r="I10" s="10">
        <f t="shared" si="1"/>
        <v>484.80736427993713</v>
      </c>
      <c r="J10" s="8">
        <f t="shared" si="2"/>
        <v>2164672.56</v>
      </c>
      <c r="K10" s="29">
        <f t="shared" si="3"/>
        <v>2.0000000000000001E-4</v>
      </c>
      <c r="L10" s="10">
        <f t="shared" si="4"/>
        <v>4686.4711880393925</v>
      </c>
      <c r="M10" s="8">
        <f t="shared" si="5"/>
        <v>5231292.0200000005</v>
      </c>
      <c r="N10" s="29">
        <f t="shared" si="6"/>
        <v>8.9999999999999998E-4</v>
      </c>
      <c r="P10" s="11">
        <v>100</v>
      </c>
      <c r="Q10" s="29">
        <f t="shared" si="7"/>
        <v>0.02</v>
      </c>
      <c r="R10" s="29">
        <f t="shared" si="8"/>
        <v>0.09</v>
      </c>
      <c r="T10" s="35"/>
    </row>
    <row r="11" spans="1:20" x14ac:dyDescent="0.3">
      <c r="A11" s="3" t="s">
        <v>15</v>
      </c>
      <c r="B11" s="3"/>
      <c r="C11" s="4" t="s">
        <v>11</v>
      </c>
      <c r="D11" s="6">
        <v>671823.87255438196</v>
      </c>
      <c r="E11" s="7">
        <f t="shared" si="0"/>
        <v>1.9870394537069087E-2</v>
      </c>
      <c r="F11" s="8">
        <v>6060292.5199999996</v>
      </c>
      <c r="G11" s="8">
        <v>16877.849999999999</v>
      </c>
      <c r="H11" s="30">
        <v>54248.652639977801</v>
      </c>
      <c r="I11" s="10">
        <f t="shared" si="1"/>
        <v>5085.8111849979186</v>
      </c>
      <c r="J11" s="8">
        <f t="shared" si="2"/>
        <v>16877.849999999999</v>
      </c>
      <c r="K11" s="29">
        <f t="shared" si="3"/>
        <v>0.30130000000000001</v>
      </c>
      <c r="L11" s="10">
        <f t="shared" si="4"/>
        <v>49162.841454979884</v>
      </c>
      <c r="M11" s="8">
        <f t="shared" si="5"/>
        <v>40788.137499999997</v>
      </c>
      <c r="N11" s="29">
        <f>ROUND(L11/M11,4)</f>
        <v>1.2053</v>
      </c>
      <c r="P11" s="11">
        <v>700</v>
      </c>
      <c r="Q11" s="29">
        <f t="shared" si="7"/>
        <v>210.91</v>
      </c>
      <c r="R11" s="29">
        <f t="shared" si="8"/>
        <v>843.71</v>
      </c>
      <c r="T11" s="35"/>
    </row>
    <row r="12" spans="1:20" x14ac:dyDescent="0.3">
      <c r="A12" s="3" t="s">
        <v>16</v>
      </c>
      <c r="B12" s="3"/>
      <c r="C12" s="4" t="s">
        <v>11</v>
      </c>
      <c r="D12" s="6">
        <v>14572.660175999999</v>
      </c>
      <c r="E12" s="7">
        <f t="shared" si="0"/>
        <v>4.3101253019006897E-4</v>
      </c>
      <c r="F12" s="8">
        <v>66482.11</v>
      </c>
      <c r="G12" s="9">
        <v>454.83</v>
      </c>
      <c r="H12" s="30">
        <v>1176.71790512962</v>
      </c>
      <c r="I12" s="10">
        <f t="shared" si="1"/>
        <v>110.31730360590188</v>
      </c>
      <c r="J12" s="8">
        <f t="shared" si="2"/>
        <v>454.83</v>
      </c>
      <c r="K12" s="29">
        <f t="shared" si="3"/>
        <v>0.24249999999999999</v>
      </c>
      <c r="L12" s="10">
        <f t="shared" si="4"/>
        <v>1066.4006015237183</v>
      </c>
      <c r="M12" s="8">
        <f t="shared" si="5"/>
        <v>1099.1724999999999</v>
      </c>
      <c r="N12" s="29">
        <f>ROUND(L12/M12,4)</f>
        <v>0.97019999999999995</v>
      </c>
      <c r="P12" s="11">
        <v>29</v>
      </c>
      <c r="Q12" s="29">
        <f>K12*P12</f>
        <v>7.0324999999999998</v>
      </c>
      <c r="R12" s="29">
        <f>N12*P12</f>
        <v>28.1358</v>
      </c>
      <c r="T12" s="35"/>
    </row>
    <row r="13" spans="1:20" x14ac:dyDescent="0.3">
      <c r="A13" s="3" t="s">
        <v>17</v>
      </c>
      <c r="B13" s="3"/>
      <c r="C13" s="4" t="s">
        <v>11</v>
      </c>
      <c r="D13" s="6">
        <v>50526.552493687603</v>
      </c>
      <c r="E13" s="7">
        <f t="shared" si="0"/>
        <v>1.4944133033412495E-3</v>
      </c>
      <c r="F13" s="8">
        <v>13702265.220000001</v>
      </c>
      <c r="G13" s="8">
        <v>28597.62</v>
      </c>
      <c r="H13" s="30">
        <v>4079.9344996538398</v>
      </c>
      <c r="I13" s="10">
        <f t="shared" si="1"/>
        <v>382.49385934254747</v>
      </c>
      <c r="J13" s="8">
        <f t="shared" si="2"/>
        <v>28597.62</v>
      </c>
      <c r="K13" s="29">
        <f t="shared" si="3"/>
        <v>1.34E-2</v>
      </c>
      <c r="L13" s="10">
        <f t="shared" si="4"/>
        <v>3697.4406403112921</v>
      </c>
      <c r="M13" s="8">
        <f t="shared" si="5"/>
        <v>69110.914999999994</v>
      </c>
      <c r="N13" s="29">
        <f t="shared" si="6"/>
        <v>5.3499999999999999E-2</v>
      </c>
      <c r="P13" s="10">
        <v>2574</v>
      </c>
      <c r="Q13" s="29">
        <f t="shared" si="7"/>
        <v>34.491599999999998</v>
      </c>
      <c r="R13" s="29">
        <f t="shared" si="8"/>
        <v>137.709</v>
      </c>
      <c r="T13" s="35"/>
    </row>
    <row r="14" spans="1:20" x14ac:dyDescent="0.3">
      <c r="A14" s="3" t="s">
        <v>18</v>
      </c>
      <c r="B14" s="3"/>
      <c r="C14" s="4" t="s">
        <v>11</v>
      </c>
      <c r="D14" s="6">
        <v>221287.05301401301</v>
      </c>
      <c r="E14" s="7">
        <f t="shared" si="0"/>
        <v>6.544961006841616E-3</v>
      </c>
      <c r="F14" s="8">
        <v>74715097.890000001</v>
      </c>
      <c r="G14" s="8">
        <v>140797.1</v>
      </c>
      <c r="H14" s="30">
        <v>17868.558952867301</v>
      </c>
      <c r="I14" s="10">
        <f t="shared" si="1"/>
        <v>1675.1774018313095</v>
      </c>
      <c r="J14" s="8">
        <f t="shared" si="2"/>
        <v>140797.1</v>
      </c>
      <c r="K14" s="29">
        <f t="shared" si="3"/>
        <v>1.1900000000000001E-2</v>
      </c>
      <c r="L14" s="10">
        <f t="shared" si="4"/>
        <v>16193.381551035991</v>
      </c>
      <c r="M14" s="8">
        <f t="shared" si="5"/>
        <v>340259.65833333338</v>
      </c>
      <c r="N14" s="29">
        <f t="shared" si="6"/>
        <v>4.7600000000000003E-2</v>
      </c>
      <c r="P14" s="10">
        <v>8280</v>
      </c>
      <c r="Q14" s="29">
        <f t="shared" si="7"/>
        <v>98.532000000000011</v>
      </c>
      <c r="R14" s="29">
        <f t="shared" si="8"/>
        <v>394.12800000000004</v>
      </c>
      <c r="T14" s="35"/>
    </row>
    <row r="15" spans="1:20" x14ac:dyDescent="0.3">
      <c r="A15" s="3" t="s">
        <v>19</v>
      </c>
      <c r="B15" s="3"/>
      <c r="C15" s="4" t="s">
        <v>11</v>
      </c>
      <c r="D15" s="6">
        <v>4224.2703119999996</v>
      </c>
      <c r="E15" s="7">
        <f t="shared" si="0"/>
        <v>1.2494036184144887E-4</v>
      </c>
      <c r="F15" s="8">
        <v>358800.09</v>
      </c>
      <c r="G15" s="8">
        <v>1189.49</v>
      </c>
      <c r="H15" s="30">
        <v>341.10275352638502</v>
      </c>
      <c r="I15" s="10">
        <f t="shared" si="1"/>
        <v>31.978383143098597</v>
      </c>
      <c r="J15" s="8">
        <f t="shared" si="2"/>
        <v>1189.49</v>
      </c>
      <c r="K15" s="29">
        <f t="shared" si="3"/>
        <v>2.69E-2</v>
      </c>
      <c r="L15" s="10">
        <f t="shared" si="4"/>
        <v>309.12437038328642</v>
      </c>
      <c r="M15" s="8">
        <f t="shared" si="5"/>
        <v>2874.6008333333334</v>
      </c>
      <c r="N15" s="29">
        <f>ROUND(L15/M15,4)</f>
        <v>0.1075</v>
      </c>
      <c r="P15" s="11">
        <v>27</v>
      </c>
      <c r="Q15" s="29">
        <f t="shared" si="7"/>
        <v>0.72630000000000006</v>
      </c>
      <c r="R15" s="29">
        <f t="shared" si="8"/>
        <v>2.9024999999999999</v>
      </c>
      <c r="T15" s="35"/>
    </row>
    <row r="16" spans="1:20" x14ac:dyDescent="0.3">
      <c r="A16" s="3" t="s">
        <v>20</v>
      </c>
      <c r="B16" s="3"/>
      <c r="C16" s="4" t="s">
        <v>11</v>
      </c>
      <c r="D16" s="6">
        <v>114003.74076</v>
      </c>
      <c r="E16" s="7">
        <f t="shared" si="0"/>
        <v>3.3718648594458448E-3</v>
      </c>
      <c r="F16" s="8">
        <v>9726052.9800000004</v>
      </c>
      <c r="G16" s="8">
        <v>20298.8</v>
      </c>
      <c r="H16" s="30">
        <v>9205.6111501853502</v>
      </c>
      <c r="I16" s="10">
        <f t="shared" si="1"/>
        <v>863.02604532987652</v>
      </c>
      <c r="J16" s="8">
        <f t="shared" si="2"/>
        <v>20298.8</v>
      </c>
      <c r="K16" s="29">
        <f t="shared" si="3"/>
        <v>4.2500000000000003E-2</v>
      </c>
      <c r="L16" s="10">
        <f t="shared" si="4"/>
        <v>8342.5851048554741</v>
      </c>
      <c r="M16" s="8">
        <f t="shared" si="5"/>
        <v>49055.433333333327</v>
      </c>
      <c r="N16" s="29">
        <f t="shared" si="6"/>
        <v>0.1701</v>
      </c>
      <c r="P16" s="10">
        <v>2340</v>
      </c>
      <c r="Q16" s="29">
        <f t="shared" si="7"/>
        <v>99.45</v>
      </c>
      <c r="R16" s="29">
        <f t="shared" si="8"/>
        <v>398.03399999999999</v>
      </c>
      <c r="T16" s="35"/>
    </row>
    <row r="17" spans="1:18" x14ac:dyDescent="0.3">
      <c r="A17" s="12" t="s">
        <v>21</v>
      </c>
      <c r="B17" s="12"/>
      <c r="C17" s="13" t="s">
        <v>11</v>
      </c>
      <c r="D17" s="14">
        <v>0</v>
      </c>
      <c r="E17" s="7">
        <v>0</v>
      </c>
      <c r="F17" s="8">
        <v>69913317.739999995</v>
      </c>
      <c r="G17" s="8">
        <v>169835.46</v>
      </c>
      <c r="H17" s="30">
        <v>0</v>
      </c>
      <c r="I17" s="11" t="s">
        <v>22</v>
      </c>
      <c r="J17" s="8">
        <f t="shared" si="2"/>
        <v>169835.46</v>
      </c>
      <c r="K17" s="11" t="s">
        <v>22</v>
      </c>
      <c r="L17" s="11" t="s">
        <v>22</v>
      </c>
      <c r="M17" s="8">
        <f t="shared" si="5"/>
        <v>410435.69500000001</v>
      </c>
      <c r="N17" s="11" t="s">
        <v>22</v>
      </c>
      <c r="P17" s="30">
        <v>0</v>
      </c>
      <c r="Q17" s="11" t="s">
        <v>22</v>
      </c>
      <c r="R17" s="11" t="s">
        <v>22</v>
      </c>
    </row>
    <row r="18" spans="1:18" x14ac:dyDescent="0.3">
      <c r="A18" s="15" t="s">
        <v>23</v>
      </c>
      <c r="B18" s="15"/>
      <c r="C18" s="15"/>
      <c r="D18" s="16">
        <f t="shared" ref="D18:I18" si="9">SUM(D5:D16)</f>
        <v>33810293.565186404</v>
      </c>
      <c r="E18" s="32">
        <f t="shared" si="9"/>
        <v>1</v>
      </c>
      <c r="F18" s="16">
        <f t="shared" si="9"/>
        <v>1777501771.7499998</v>
      </c>
      <c r="G18" s="16">
        <f t="shared" si="9"/>
        <v>2688253.2200000007</v>
      </c>
      <c r="H18" s="16">
        <f t="shared" si="9"/>
        <v>2730124.5850340151</v>
      </c>
      <c r="I18" s="31">
        <f t="shared" si="9"/>
        <v>255949.17984693887</v>
      </c>
      <c r="J18" s="16"/>
      <c r="K18" s="17"/>
      <c r="L18" s="17">
        <f>SUM(L5:L16)</f>
        <v>2474175.4051870755</v>
      </c>
      <c r="M18" s="16"/>
      <c r="N18" s="17"/>
      <c r="P18" s="17"/>
      <c r="Q18" s="17"/>
      <c r="R18" s="17"/>
    </row>
  </sheetData>
  <mergeCells count="15">
    <mergeCell ref="H3:H4"/>
    <mergeCell ref="C3:C4"/>
    <mergeCell ref="D3:D4"/>
    <mergeCell ref="E3:E4"/>
    <mergeCell ref="F3:F4"/>
    <mergeCell ref="G3:G4"/>
    <mergeCell ref="P3:P4"/>
    <mergeCell ref="Q3:Q4"/>
    <mergeCell ref="R3:R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>
      <selection activeCell="N10" sqref="N10"/>
    </sheetView>
  </sheetViews>
  <sheetFormatPr defaultRowHeight="14.4" x14ac:dyDescent="0.3"/>
  <cols>
    <col min="1" max="1" width="59.77734375" customWidth="1"/>
    <col min="2" max="2" width="1.44140625" customWidth="1"/>
    <col min="4" max="4" width="16.88671875" customWidth="1"/>
    <col min="5" max="5" width="14.88671875" customWidth="1"/>
    <col min="6" max="6" width="16.77734375" customWidth="1"/>
    <col min="7" max="8" width="13" customWidth="1"/>
    <col min="9" max="9" width="22" style="36" customWidth="1"/>
    <col min="10" max="10" width="16.77734375" customWidth="1"/>
    <col min="11" max="11" width="13.5546875" customWidth="1"/>
    <col min="12" max="12" width="13" customWidth="1"/>
    <col min="13" max="13" width="16.77734375" customWidth="1"/>
    <col min="14" max="14" width="13" customWidth="1"/>
  </cols>
  <sheetData>
    <row r="1" spans="1:14" x14ac:dyDescent="0.3">
      <c r="A1" s="33" t="s">
        <v>36</v>
      </c>
    </row>
    <row r="3" spans="1:14" ht="14.4" customHeight="1" x14ac:dyDescent="0.3">
      <c r="A3" s="1" t="s">
        <v>0</v>
      </c>
      <c r="B3" s="1"/>
      <c r="C3" s="41" t="s">
        <v>1</v>
      </c>
      <c r="D3" s="39" t="s">
        <v>2</v>
      </c>
      <c r="E3" s="39" t="s">
        <v>3</v>
      </c>
      <c r="F3" s="39" t="s">
        <v>4</v>
      </c>
      <c r="G3" s="39" t="s">
        <v>5</v>
      </c>
      <c r="H3" s="39" t="s">
        <v>31</v>
      </c>
      <c r="I3" s="39" t="s">
        <v>33</v>
      </c>
      <c r="J3" s="39" t="s">
        <v>35</v>
      </c>
      <c r="K3" s="39" t="s">
        <v>34</v>
      </c>
      <c r="L3" s="39" t="s">
        <v>26</v>
      </c>
      <c r="M3" s="39" t="s">
        <v>37</v>
      </c>
      <c r="N3" s="39" t="s">
        <v>28</v>
      </c>
    </row>
    <row r="4" spans="1:14" ht="57.6" customHeight="1" x14ac:dyDescent="0.3">
      <c r="A4" s="2" t="s">
        <v>6</v>
      </c>
      <c r="B4" s="2"/>
      <c r="C4" s="4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x14ac:dyDescent="0.3">
      <c r="A5" s="3" t="s">
        <v>7</v>
      </c>
      <c r="B5" s="3"/>
      <c r="C5" s="4" t="s">
        <v>8</v>
      </c>
      <c r="D5" s="6">
        <v>17528594.544314601</v>
      </c>
      <c r="E5" s="7">
        <f>D5/D$18</f>
        <v>0.51843958439814752</v>
      </c>
      <c r="F5" s="8">
        <v>542709487.01999998</v>
      </c>
      <c r="G5" s="9">
        <v>0</v>
      </c>
      <c r="H5" s="30">
        <v>1415404.6552202001</v>
      </c>
      <c r="I5" s="37">
        <f>H5*3/32</f>
        <v>132694.18642689375</v>
      </c>
      <c r="J5" s="8">
        <f>IF(C5="KWh",F5,G5)</f>
        <v>542709487.01999998</v>
      </c>
      <c r="K5" s="29">
        <f>ROUND(I5/J5,4)</f>
        <v>2.0000000000000001E-4</v>
      </c>
      <c r="L5" s="10">
        <f>H5*29/32</f>
        <v>1282710.4687933063</v>
      </c>
      <c r="M5" s="8">
        <f>IF(F5="KWh",I5*29/12,J5*29/12)</f>
        <v>1311547926.9649999</v>
      </c>
      <c r="N5" s="29">
        <f>ROUND(L5/M5,4)</f>
        <v>1E-3</v>
      </c>
    </row>
    <row r="6" spans="1:14" x14ac:dyDescent="0.3">
      <c r="A6" s="3" t="s">
        <v>9</v>
      </c>
      <c r="B6" s="3"/>
      <c r="C6" s="4" t="s">
        <v>8</v>
      </c>
      <c r="D6" s="6">
        <v>4131617.4822672899</v>
      </c>
      <c r="E6" s="7">
        <f t="shared" ref="E6:E16" si="0">D6/D$18</f>
        <v>0.12219998842368855</v>
      </c>
      <c r="F6" s="8">
        <v>218827694.66</v>
      </c>
      <c r="G6" s="8">
        <v>3759.09</v>
      </c>
      <c r="H6" s="30">
        <v>333621.19268638402</v>
      </c>
      <c r="I6" s="37">
        <f t="shared" ref="I6:I16" si="1">H6*3/32</f>
        <v>31276.9868143485</v>
      </c>
      <c r="J6" s="8">
        <f t="shared" ref="J6:J17" si="2">IF(C6="KWh",F6,G6)</f>
        <v>218827694.66</v>
      </c>
      <c r="K6" s="29">
        <f t="shared" ref="K6:K16" si="3">ROUND(I6/J6,4)</f>
        <v>1E-4</v>
      </c>
      <c r="L6" s="10">
        <f t="shared" ref="L6:L16" si="4">H6*29/32</f>
        <v>302344.20587203553</v>
      </c>
      <c r="M6" s="8">
        <f t="shared" ref="M6:M17" si="5">IF(F6="KWh",I6*29/12,J6*29/12)</f>
        <v>528833595.42833334</v>
      </c>
      <c r="N6" s="29">
        <f t="shared" ref="N6:N16" si="6">ROUND(L6/M6,4)</f>
        <v>5.9999999999999995E-4</v>
      </c>
    </row>
    <row r="7" spans="1:14" x14ac:dyDescent="0.3">
      <c r="A7" s="3" t="s">
        <v>10</v>
      </c>
      <c r="B7" s="3"/>
      <c r="C7" s="4" t="s">
        <v>11</v>
      </c>
      <c r="D7" s="6">
        <v>7613421.8317788597</v>
      </c>
      <c r="E7" s="7">
        <f t="shared" si="0"/>
        <v>0.22518058936992508</v>
      </c>
      <c r="F7" s="8">
        <v>562895601.35000002</v>
      </c>
      <c r="G7" s="8">
        <v>1691497.11</v>
      </c>
      <c r="H7" s="30">
        <v>614771.06311128102</v>
      </c>
      <c r="I7" s="37">
        <f t="shared" si="1"/>
        <v>57634.787166682596</v>
      </c>
      <c r="J7" s="8">
        <f t="shared" si="2"/>
        <v>1691497.11</v>
      </c>
      <c r="K7" s="29">
        <f t="shared" si="3"/>
        <v>3.4099999999999998E-2</v>
      </c>
      <c r="L7" s="10">
        <f t="shared" si="4"/>
        <v>557136.27594459848</v>
      </c>
      <c r="M7" s="8">
        <f t="shared" si="5"/>
        <v>4087784.6825000006</v>
      </c>
      <c r="N7" s="29">
        <f t="shared" si="6"/>
        <v>0.1363</v>
      </c>
    </row>
    <row r="8" spans="1:14" x14ac:dyDescent="0.3">
      <c r="A8" s="3" t="s">
        <v>12</v>
      </c>
      <c r="B8" s="3"/>
      <c r="C8" s="4" t="s">
        <v>11</v>
      </c>
      <c r="D8" s="6">
        <v>2356119.03726864</v>
      </c>
      <c r="E8" s="7">
        <f t="shared" si="0"/>
        <v>6.9686441282328163E-2</v>
      </c>
      <c r="F8" s="8">
        <v>187259712</v>
      </c>
      <c r="G8" s="8">
        <v>456520.64</v>
      </c>
      <c r="H8" s="30">
        <v>190252.66658841301</v>
      </c>
      <c r="I8" s="37">
        <f t="shared" si="1"/>
        <v>17836.187492663717</v>
      </c>
      <c r="J8" s="8">
        <f t="shared" si="2"/>
        <v>456520.64</v>
      </c>
      <c r="K8" s="29">
        <f t="shared" si="3"/>
        <v>3.9100000000000003E-2</v>
      </c>
      <c r="L8" s="10">
        <f t="shared" si="4"/>
        <v>172416.4790957493</v>
      </c>
      <c r="M8" s="8">
        <f t="shared" si="5"/>
        <v>1103258.2133333334</v>
      </c>
      <c r="N8" s="29">
        <f t="shared" si="6"/>
        <v>0.15629999999999999</v>
      </c>
    </row>
    <row r="9" spans="1:14" x14ac:dyDescent="0.3">
      <c r="A9" s="3" t="s">
        <v>13</v>
      </c>
      <c r="B9" s="3"/>
      <c r="C9" s="4" t="s">
        <v>11</v>
      </c>
      <c r="D9" s="6">
        <v>1040060.59083473</v>
      </c>
      <c r="E9" s="7">
        <f t="shared" si="0"/>
        <v>3.076165514000901E-2</v>
      </c>
      <c r="F9" s="8">
        <v>159015613.34999999</v>
      </c>
      <c r="G9" s="8">
        <v>328260.69</v>
      </c>
      <c r="H9" s="30">
        <v>83983.150974076794</v>
      </c>
      <c r="I9" s="37">
        <f t="shared" si="1"/>
        <v>7873.4204038196995</v>
      </c>
      <c r="J9" s="8">
        <f t="shared" si="2"/>
        <v>328260.69</v>
      </c>
      <c r="K9" s="29">
        <f t="shared" si="3"/>
        <v>2.4E-2</v>
      </c>
      <c r="L9" s="10">
        <f t="shared" si="4"/>
        <v>76109.730570257088</v>
      </c>
      <c r="M9" s="8">
        <f t="shared" si="5"/>
        <v>793296.66749999998</v>
      </c>
      <c r="N9" s="29">
        <f t="shared" si="6"/>
        <v>9.5899999999999999E-2</v>
      </c>
    </row>
    <row r="10" spans="1:14" x14ac:dyDescent="0.3">
      <c r="A10" s="3" t="s">
        <v>14</v>
      </c>
      <c r="B10" s="3"/>
      <c r="C10" s="4" t="s">
        <v>8</v>
      </c>
      <c r="D10" s="6">
        <v>64041.929412203201</v>
      </c>
      <c r="E10" s="7">
        <f t="shared" si="0"/>
        <v>1.894154787172435E-3</v>
      </c>
      <c r="F10" s="8">
        <v>2164672.56</v>
      </c>
      <c r="G10" s="9">
        <v>0</v>
      </c>
      <c r="H10" s="30">
        <v>5171.2785523193297</v>
      </c>
      <c r="I10" s="37">
        <f t="shared" si="1"/>
        <v>484.80736427993713</v>
      </c>
      <c r="J10" s="8">
        <f t="shared" si="2"/>
        <v>2164672.56</v>
      </c>
      <c r="K10" s="29">
        <f t="shared" si="3"/>
        <v>2.0000000000000001E-4</v>
      </c>
      <c r="L10" s="10">
        <f t="shared" si="4"/>
        <v>4686.4711880393925</v>
      </c>
      <c r="M10" s="8">
        <f t="shared" si="5"/>
        <v>5231292.0200000005</v>
      </c>
      <c r="N10" s="29">
        <f t="shared" si="6"/>
        <v>8.9999999999999998E-4</v>
      </c>
    </row>
    <row r="11" spans="1:14" x14ac:dyDescent="0.3">
      <c r="A11" s="3" t="s">
        <v>15</v>
      </c>
      <c r="B11" s="3"/>
      <c r="C11" s="4" t="s">
        <v>11</v>
      </c>
      <c r="D11" s="6">
        <v>671823.87255438196</v>
      </c>
      <c r="E11" s="7">
        <f t="shared" si="0"/>
        <v>1.9870394537069087E-2</v>
      </c>
      <c r="F11" s="8">
        <v>6060292.5199999996</v>
      </c>
      <c r="G11" s="8">
        <v>16877.849999999999</v>
      </c>
      <c r="H11" s="30">
        <v>54248.652639977801</v>
      </c>
      <c r="I11" s="37">
        <f t="shared" si="1"/>
        <v>5085.8111849979186</v>
      </c>
      <c r="J11" s="8">
        <f t="shared" si="2"/>
        <v>16877.849999999999</v>
      </c>
      <c r="K11" s="29">
        <f t="shared" si="3"/>
        <v>0.30130000000000001</v>
      </c>
      <c r="L11" s="10">
        <f t="shared" si="4"/>
        <v>49162.841454979884</v>
      </c>
      <c r="M11" s="8">
        <f t="shared" si="5"/>
        <v>40788.137499999997</v>
      </c>
      <c r="N11" s="29">
        <f>ROUND(L11/M11,4)</f>
        <v>1.2053</v>
      </c>
    </row>
    <row r="12" spans="1:14" x14ac:dyDescent="0.3">
      <c r="A12" s="3" t="s">
        <v>16</v>
      </c>
      <c r="B12" s="3"/>
      <c r="C12" s="4" t="s">
        <v>11</v>
      </c>
      <c r="D12" s="6">
        <v>14572.660175999999</v>
      </c>
      <c r="E12" s="7">
        <f t="shared" si="0"/>
        <v>4.3101253019006897E-4</v>
      </c>
      <c r="F12" s="8">
        <v>66482.11</v>
      </c>
      <c r="G12" s="9">
        <v>454.83</v>
      </c>
      <c r="H12" s="30">
        <v>1176.71790512962</v>
      </c>
      <c r="I12" s="37">
        <f t="shared" si="1"/>
        <v>110.31730360590188</v>
      </c>
      <c r="J12" s="8">
        <f t="shared" si="2"/>
        <v>454.83</v>
      </c>
      <c r="K12" s="29">
        <f t="shared" si="3"/>
        <v>0.24249999999999999</v>
      </c>
      <c r="L12" s="10">
        <f t="shared" si="4"/>
        <v>1066.4006015237183</v>
      </c>
      <c r="M12" s="8">
        <f t="shared" si="5"/>
        <v>1099.1724999999999</v>
      </c>
      <c r="N12" s="29">
        <f>ROUND(L12/M12,4)</f>
        <v>0.97019999999999995</v>
      </c>
    </row>
    <row r="13" spans="1:14" x14ac:dyDescent="0.3">
      <c r="A13" s="3" t="s">
        <v>17</v>
      </c>
      <c r="B13" s="3"/>
      <c r="C13" s="4" t="s">
        <v>11</v>
      </c>
      <c r="D13" s="6">
        <v>50526.552493687603</v>
      </c>
      <c r="E13" s="7">
        <f t="shared" si="0"/>
        <v>1.4944133033412495E-3</v>
      </c>
      <c r="F13" s="8">
        <v>13702265.220000001</v>
      </c>
      <c r="G13" s="8">
        <v>28597.62</v>
      </c>
      <c r="H13" s="30">
        <v>4079.9344996538398</v>
      </c>
      <c r="I13" s="37">
        <f t="shared" si="1"/>
        <v>382.49385934254747</v>
      </c>
      <c r="J13" s="8">
        <f t="shared" si="2"/>
        <v>28597.62</v>
      </c>
      <c r="K13" s="29">
        <f t="shared" si="3"/>
        <v>1.34E-2</v>
      </c>
      <c r="L13" s="10">
        <f t="shared" si="4"/>
        <v>3697.4406403112921</v>
      </c>
      <c r="M13" s="8">
        <f t="shared" si="5"/>
        <v>69110.914999999994</v>
      </c>
      <c r="N13" s="29">
        <f t="shared" si="6"/>
        <v>5.3499999999999999E-2</v>
      </c>
    </row>
    <row r="14" spans="1:14" x14ac:dyDescent="0.3">
      <c r="A14" s="3" t="s">
        <v>18</v>
      </c>
      <c r="B14" s="3"/>
      <c r="C14" s="4" t="s">
        <v>11</v>
      </c>
      <c r="D14" s="6">
        <v>221287.05301401301</v>
      </c>
      <c r="E14" s="7">
        <f t="shared" si="0"/>
        <v>6.544961006841616E-3</v>
      </c>
      <c r="F14" s="8">
        <v>74715097.890000001</v>
      </c>
      <c r="G14" s="8">
        <v>140797.1</v>
      </c>
      <c r="H14" s="30">
        <v>17868.558952867301</v>
      </c>
      <c r="I14" s="37">
        <f t="shared" si="1"/>
        <v>1675.1774018313095</v>
      </c>
      <c r="J14" s="8">
        <f t="shared" si="2"/>
        <v>140797.1</v>
      </c>
      <c r="K14" s="29">
        <f t="shared" si="3"/>
        <v>1.1900000000000001E-2</v>
      </c>
      <c r="L14" s="10">
        <f t="shared" si="4"/>
        <v>16193.381551035991</v>
      </c>
      <c r="M14" s="8">
        <f t="shared" si="5"/>
        <v>340259.65833333338</v>
      </c>
      <c r="N14" s="29">
        <f t="shared" si="6"/>
        <v>4.7600000000000003E-2</v>
      </c>
    </row>
    <row r="15" spans="1:14" x14ac:dyDescent="0.3">
      <c r="A15" s="3" t="s">
        <v>19</v>
      </c>
      <c r="B15" s="3"/>
      <c r="C15" s="4" t="s">
        <v>11</v>
      </c>
      <c r="D15" s="6">
        <v>4224.2703119999996</v>
      </c>
      <c r="E15" s="7">
        <f t="shared" si="0"/>
        <v>1.2494036184144887E-4</v>
      </c>
      <c r="F15" s="8">
        <v>358800.09</v>
      </c>
      <c r="G15" s="8">
        <v>1189.49</v>
      </c>
      <c r="H15" s="30">
        <v>341.10275352638502</v>
      </c>
      <c r="I15" s="37">
        <f t="shared" si="1"/>
        <v>31.978383143098597</v>
      </c>
      <c r="J15" s="8">
        <f t="shared" si="2"/>
        <v>1189.49</v>
      </c>
      <c r="K15" s="29">
        <f t="shared" si="3"/>
        <v>2.69E-2</v>
      </c>
      <c r="L15" s="10">
        <f t="shared" si="4"/>
        <v>309.12437038328642</v>
      </c>
      <c r="M15" s="8">
        <f t="shared" si="5"/>
        <v>2874.6008333333334</v>
      </c>
      <c r="N15" s="29">
        <f>ROUND(L15/M15,4)</f>
        <v>0.1075</v>
      </c>
    </row>
    <row r="16" spans="1:14" x14ac:dyDescent="0.3">
      <c r="A16" s="3" t="s">
        <v>20</v>
      </c>
      <c r="B16" s="3"/>
      <c r="C16" s="4" t="s">
        <v>11</v>
      </c>
      <c r="D16" s="6">
        <v>114003.74076</v>
      </c>
      <c r="E16" s="7">
        <f t="shared" si="0"/>
        <v>3.3718648594458448E-3</v>
      </c>
      <c r="F16" s="8">
        <v>9726052.9800000004</v>
      </c>
      <c r="G16" s="8">
        <v>20298.8</v>
      </c>
      <c r="H16" s="30">
        <v>9205.6111501853502</v>
      </c>
      <c r="I16" s="37">
        <f t="shared" si="1"/>
        <v>863.02604532987652</v>
      </c>
      <c r="J16" s="8">
        <f t="shared" si="2"/>
        <v>20298.8</v>
      </c>
      <c r="K16" s="29">
        <f t="shared" si="3"/>
        <v>4.2500000000000003E-2</v>
      </c>
      <c r="L16" s="10">
        <f t="shared" si="4"/>
        <v>8342.5851048554741</v>
      </c>
      <c r="M16" s="8">
        <f t="shared" si="5"/>
        <v>49055.433333333327</v>
      </c>
      <c r="N16" s="29">
        <f t="shared" si="6"/>
        <v>0.1701</v>
      </c>
    </row>
    <row r="17" spans="1:14" x14ac:dyDescent="0.3">
      <c r="A17" s="12" t="s">
        <v>21</v>
      </c>
      <c r="B17" s="12"/>
      <c r="C17" s="13" t="s">
        <v>11</v>
      </c>
      <c r="D17" s="14">
        <v>0</v>
      </c>
      <c r="E17" s="7">
        <v>0</v>
      </c>
      <c r="F17" s="8">
        <v>69913317.739999995</v>
      </c>
      <c r="G17" s="8">
        <v>169835.46</v>
      </c>
      <c r="H17" s="30">
        <v>0</v>
      </c>
      <c r="I17" s="38" t="s">
        <v>22</v>
      </c>
      <c r="J17" s="8">
        <f t="shared" si="2"/>
        <v>169835.46</v>
      </c>
      <c r="K17" s="11" t="s">
        <v>22</v>
      </c>
      <c r="L17" s="11" t="s">
        <v>22</v>
      </c>
      <c r="M17" s="8">
        <f t="shared" si="5"/>
        <v>410435.69500000001</v>
      </c>
      <c r="N17" s="11" t="s">
        <v>22</v>
      </c>
    </row>
    <row r="18" spans="1:14" x14ac:dyDescent="0.3">
      <c r="A18" s="15" t="s">
        <v>23</v>
      </c>
      <c r="B18" s="15"/>
      <c r="C18" s="15"/>
      <c r="D18" s="16">
        <f t="shared" ref="D18:I18" si="7">SUM(D5:D16)</f>
        <v>33810293.565186404</v>
      </c>
      <c r="E18" s="32">
        <f t="shared" si="7"/>
        <v>1</v>
      </c>
      <c r="F18" s="16">
        <f t="shared" si="7"/>
        <v>1777501771.7499998</v>
      </c>
      <c r="G18" s="16">
        <f t="shared" si="7"/>
        <v>2688253.2200000007</v>
      </c>
      <c r="H18" s="16">
        <f t="shared" si="7"/>
        <v>2730124.5850340151</v>
      </c>
      <c r="I18" s="16">
        <f t="shared" si="7"/>
        <v>255949.17984693887</v>
      </c>
      <c r="J18" s="16"/>
      <c r="K18" s="17"/>
      <c r="L18" s="17">
        <f>SUM(L5:L16)</f>
        <v>2474175.4051870755</v>
      </c>
      <c r="M18" s="16"/>
      <c r="N18" s="17"/>
    </row>
  </sheetData>
  <mergeCells count="12">
    <mergeCell ref="N3:N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5152-0018-4DD8-9FC1-53D8A2C6AE8D}">
  <dimension ref="A1:J31"/>
  <sheetViews>
    <sheetView zoomScaleNormal="100" workbookViewId="0">
      <selection activeCell="D31" sqref="D31"/>
    </sheetView>
  </sheetViews>
  <sheetFormatPr defaultRowHeight="14.4" x14ac:dyDescent="0.3"/>
  <cols>
    <col min="1" max="1" width="61.88671875" customWidth="1"/>
    <col min="2" max="2" width="14.5546875" customWidth="1"/>
    <col min="3" max="3" width="16.109375" customWidth="1"/>
    <col min="4" max="4" width="25.5546875" customWidth="1"/>
    <col min="5" max="5" width="24.109375" customWidth="1"/>
    <col min="6" max="6" width="19.5546875" customWidth="1"/>
    <col min="7" max="7" width="20.109375" customWidth="1"/>
    <col min="8" max="8" width="19" customWidth="1"/>
    <col min="9" max="9" width="19.77734375" customWidth="1"/>
  </cols>
  <sheetData>
    <row r="1" spans="1:10" x14ac:dyDescent="0.3">
      <c r="A1" s="33" t="s">
        <v>45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</row>
    <row r="3" spans="1:10" ht="53.4" customHeight="1" x14ac:dyDescent="0.3">
      <c r="A3" s="18"/>
      <c r="B3" s="19" t="s">
        <v>24</v>
      </c>
      <c r="C3" s="19" t="s">
        <v>25</v>
      </c>
      <c r="D3" s="19" t="s">
        <v>39</v>
      </c>
      <c r="E3" s="19" t="s">
        <v>38</v>
      </c>
      <c r="F3" s="19" t="s">
        <v>41</v>
      </c>
      <c r="G3" s="19" t="s">
        <v>42</v>
      </c>
      <c r="H3" s="19" t="s">
        <v>40</v>
      </c>
      <c r="I3" s="19" t="s">
        <v>30</v>
      </c>
    </row>
    <row r="4" spans="1:10" x14ac:dyDescent="0.3">
      <c r="A4" s="20" t="s">
        <v>0</v>
      </c>
      <c r="B4" s="21"/>
      <c r="C4" s="21"/>
      <c r="D4" s="21"/>
      <c r="E4" s="21"/>
      <c r="F4" s="21"/>
      <c r="G4" s="22"/>
      <c r="H4" s="21"/>
      <c r="I4" s="22"/>
    </row>
    <row r="5" spans="1:10" x14ac:dyDescent="0.3">
      <c r="A5" s="3" t="s">
        <v>7</v>
      </c>
      <c r="B5" s="23">
        <v>34.229999999999997</v>
      </c>
      <c r="C5" s="23">
        <v>128.72</v>
      </c>
      <c r="D5" s="23">
        <f>'NWS Rate Riders_working paper'!Q5</f>
        <v>0.15</v>
      </c>
      <c r="E5" s="23">
        <f>'NWS Rate Riders_working paper'!R5</f>
        <v>0.75</v>
      </c>
      <c r="F5" s="24">
        <f>(D5+E5)/B5</f>
        <v>2.6292725679228749E-2</v>
      </c>
      <c r="G5" s="24">
        <f>E5/B5</f>
        <v>2.1910604732690624E-2</v>
      </c>
      <c r="H5" s="24">
        <f>(D5+E5)/C5</f>
        <v>6.9919204474829088E-3</v>
      </c>
      <c r="I5" s="24">
        <f>E5/C5</f>
        <v>5.8266003729024237E-3</v>
      </c>
      <c r="J5" s="26"/>
    </row>
    <row r="6" spans="1:10" x14ac:dyDescent="0.3">
      <c r="A6" s="3" t="s">
        <v>9</v>
      </c>
      <c r="B6" s="23">
        <v>59.18</v>
      </c>
      <c r="C6" s="23">
        <v>322.29000000000002</v>
      </c>
      <c r="D6" s="23">
        <f>'NWS Rate Riders_working paper'!Q6</f>
        <v>0.2</v>
      </c>
      <c r="E6" s="23">
        <f>'NWS Rate Riders_working paper'!R6</f>
        <v>1.2</v>
      </c>
      <c r="F6" s="24">
        <f t="shared" ref="F6:F16" si="0">(D6+E6)/B6</f>
        <v>2.3656640757012504E-2</v>
      </c>
      <c r="G6" s="24">
        <f t="shared" ref="G6:G16" si="1">E6/B6</f>
        <v>2.0277120648867861E-2</v>
      </c>
      <c r="H6" s="24">
        <f t="shared" ref="H6:H16" si="2">(D6+E6)/C6</f>
        <v>4.3439138663936205E-3</v>
      </c>
      <c r="I6" s="24">
        <f t="shared" ref="I6:I16" si="3">E6/C6</f>
        <v>3.7233547426231031E-3</v>
      </c>
      <c r="J6" s="26"/>
    </row>
    <row r="7" spans="1:10" x14ac:dyDescent="0.3">
      <c r="A7" s="3" t="s">
        <v>10</v>
      </c>
      <c r="B7" s="23">
        <v>418.14</v>
      </c>
      <c r="C7" s="23">
        <v>3765.71</v>
      </c>
      <c r="D7" s="23">
        <f>'NWS Rate Riders_working paper'!Q7</f>
        <v>2.0459999999999998</v>
      </c>
      <c r="E7" s="23">
        <f>'NWS Rate Riders_working paper'!R7</f>
        <v>8.1780000000000008</v>
      </c>
      <c r="F7" s="24">
        <f t="shared" si="0"/>
        <v>2.4451140766250538E-2</v>
      </c>
      <c r="G7" s="24">
        <f t="shared" si="1"/>
        <v>1.9558042760797822E-2</v>
      </c>
      <c r="H7" s="24">
        <f t="shared" si="2"/>
        <v>2.7150258516986173E-3</v>
      </c>
      <c r="I7" s="24">
        <f t="shared" si="3"/>
        <v>2.171702016352826E-3</v>
      </c>
      <c r="J7" s="26"/>
    </row>
    <row r="8" spans="1:10" x14ac:dyDescent="0.3">
      <c r="A8" s="3" t="s">
        <v>12</v>
      </c>
      <c r="B8" s="23">
        <v>10796.43</v>
      </c>
      <c r="C8" s="23">
        <v>134424.46</v>
      </c>
      <c r="D8" s="23">
        <f>'NWS Rate Riders_working paper'!Q8</f>
        <v>78.2</v>
      </c>
      <c r="E8" s="23">
        <f>'NWS Rate Riders_working paper'!R8</f>
        <v>312.59999999999997</v>
      </c>
      <c r="F8" s="24">
        <f t="shared" si="0"/>
        <v>3.6197150354330083E-2</v>
      </c>
      <c r="G8" s="24">
        <f t="shared" si="1"/>
        <v>2.8954015355075701E-2</v>
      </c>
      <c r="H8" s="24">
        <f t="shared" si="2"/>
        <v>2.9072090005048189E-3</v>
      </c>
      <c r="I8" s="24">
        <f t="shared" si="3"/>
        <v>2.3254696355112753E-3</v>
      </c>
      <c r="J8" s="26"/>
    </row>
    <row r="9" spans="1:10" x14ac:dyDescent="0.3">
      <c r="A9" s="3" t="s">
        <v>13</v>
      </c>
      <c r="B9" s="23">
        <v>43750.04</v>
      </c>
      <c r="C9" s="23">
        <v>1037649.08</v>
      </c>
      <c r="D9" s="23">
        <f>'NWS Rate Riders_working paper'!Q9</f>
        <v>384</v>
      </c>
      <c r="E9" s="23">
        <f>'NWS Rate Riders_working paper'!R9</f>
        <v>1534.4</v>
      </c>
      <c r="F9" s="24">
        <f t="shared" si="0"/>
        <v>4.3849102766534614E-2</v>
      </c>
      <c r="G9" s="24">
        <f t="shared" si="1"/>
        <v>3.5071967934200747E-2</v>
      </c>
      <c r="H9" s="24">
        <f t="shared" si="2"/>
        <v>1.8487945847742669E-3</v>
      </c>
      <c r="I9" s="24">
        <f t="shared" si="3"/>
        <v>1.4787272783974329E-3</v>
      </c>
      <c r="J9" s="26"/>
    </row>
    <row r="10" spans="1:10" x14ac:dyDescent="0.3">
      <c r="A10" s="3" t="s">
        <v>14</v>
      </c>
      <c r="B10" s="23">
        <v>9.0399999999999991</v>
      </c>
      <c r="C10" s="23">
        <v>21.59</v>
      </c>
      <c r="D10" s="23">
        <f>'NWS Rate Riders_working paper'!Q10</f>
        <v>0.02</v>
      </c>
      <c r="E10" s="23">
        <f>'NWS Rate Riders_working paper'!R10</f>
        <v>0.09</v>
      </c>
      <c r="F10" s="24">
        <f t="shared" si="0"/>
        <v>1.2168141592920356E-2</v>
      </c>
      <c r="G10" s="24">
        <f t="shared" si="1"/>
        <v>9.9557522123893804E-3</v>
      </c>
      <c r="H10" s="24">
        <f t="shared" si="2"/>
        <v>5.0949513663733209E-3</v>
      </c>
      <c r="I10" s="24">
        <f t="shared" si="3"/>
        <v>4.1685965724872626E-3</v>
      </c>
      <c r="J10" s="26"/>
    </row>
    <row r="11" spans="1:10" x14ac:dyDescent="0.3">
      <c r="A11" s="3" t="s">
        <v>15</v>
      </c>
      <c r="B11" s="34">
        <v>-6935.04</v>
      </c>
      <c r="C11" s="23">
        <v>50023.03</v>
      </c>
      <c r="D11" s="23">
        <f>'NWS Rate Riders_working paper'!Q11</f>
        <v>210.91</v>
      </c>
      <c r="E11" s="23">
        <f>'NWS Rate Riders_working paper'!R11</f>
        <v>843.71</v>
      </c>
      <c r="F11" s="24">
        <f t="shared" si="0"/>
        <v>-0.15207122093023256</v>
      </c>
      <c r="G11" s="24">
        <f t="shared" si="1"/>
        <v>-0.12165899547803619</v>
      </c>
      <c r="H11" s="24">
        <f t="shared" si="2"/>
        <v>2.1082689313302296E-2</v>
      </c>
      <c r="I11" s="24">
        <f t="shared" si="3"/>
        <v>1.6866431321733211E-2</v>
      </c>
      <c r="J11" s="26"/>
    </row>
    <row r="12" spans="1:10" x14ac:dyDescent="0.3">
      <c r="A12" s="3" t="s">
        <v>16</v>
      </c>
      <c r="B12" s="23">
        <v>1471.53</v>
      </c>
      <c r="C12" s="23">
        <v>3175.19</v>
      </c>
      <c r="D12" s="23">
        <f>'NWS Rate Riders_working paper'!Q12</f>
        <v>7.0324999999999998</v>
      </c>
      <c r="E12" s="23">
        <f>'NWS Rate Riders_working paper'!R12</f>
        <v>28.1358</v>
      </c>
      <c r="F12" s="24">
        <f t="shared" si="0"/>
        <v>2.3899138991389915E-2</v>
      </c>
      <c r="G12" s="24">
        <f t="shared" si="1"/>
        <v>1.91200994882877E-2</v>
      </c>
      <c r="H12" s="24">
        <f t="shared" si="2"/>
        <v>1.1075967107480184E-2</v>
      </c>
      <c r="I12" s="24">
        <f t="shared" si="3"/>
        <v>8.861139018452438E-3</v>
      </c>
      <c r="J12" s="26"/>
    </row>
    <row r="13" spans="1:10" x14ac:dyDescent="0.3">
      <c r="A13" s="3" t="s">
        <v>17</v>
      </c>
      <c r="B13" s="23">
        <v>6642.13</v>
      </c>
      <c r="C13" s="23">
        <v>213898.51</v>
      </c>
      <c r="D13" s="23">
        <f>'NWS Rate Riders_working paper'!Q13</f>
        <v>34.491599999999998</v>
      </c>
      <c r="E13" s="23">
        <f>'NWS Rate Riders_working paper'!R13</f>
        <v>137.709</v>
      </c>
      <c r="F13" s="24">
        <f t="shared" si="0"/>
        <v>2.5925508835268205E-2</v>
      </c>
      <c r="G13" s="24">
        <f t="shared" si="1"/>
        <v>2.0732656542404318E-2</v>
      </c>
      <c r="H13" s="24">
        <f t="shared" si="2"/>
        <v>8.0505750133556331E-4</v>
      </c>
      <c r="I13" s="24">
        <f t="shared" si="3"/>
        <v>6.4380532618015895E-4</v>
      </c>
      <c r="J13" s="26"/>
    </row>
    <row r="14" spans="1:10" x14ac:dyDescent="0.3">
      <c r="A14" s="3" t="s">
        <v>18</v>
      </c>
      <c r="B14" s="23">
        <v>16415.61</v>
      </c>
      <c r="C14" s="23">
        <v>86791.77</v>
      </c>
      <c r="D14" s="23">
        <f>'NWS Rate Riders_working paper'!Q14</f>
        <v>98.532000000000011</v>
      </c>
      <c r="E14" s="23">
        <f>'NWS Rate Riders_working paper'!R14</f>
        <v>394.12800000000004</v>
      </c>
      <c r="F14" s="24">
        <f t="shared" si="0"/>
        <v>3.0011677909014656E-2</v>
      </c>
      <c r="G14" s="24">
        <f t="shared" si="1"/>
        <v>2.4009342327211722E-2</v>
      </c>
      <c r="H14" s="24">
        <f t="shared" si="2"/>
        <v>5.6763446580246034E-3</v>
      </c>
      <c r="I14" s="24">
        <f t="shared" si="3"/>
        <v>4.5410757264196825E-3</v>
      </c>
      <c r="J14" s="26"/>
    </row>
    <row r="15" spans="1:10" x14ac:dyDescent="0.3">
      <c r="A15" s="3" t="s">
        <v>19</v>
      </c>
      <c r="B15" s="23">
        <v>418.19</v>
      </c>
      <c r="C15" s="23">
        <v>7435.08</v>
      </c>
      <c r="D15" s="23">
        <f>'NWS Rate Riders_working paper'!Q15</f>
        <v>0.72630000000000006</v>
      </c>
      <c r="E15" s="23">
        <f>'NWS Rate Riders_working paper'!R15</f>
        <v>2.9024999999999999</v>
      </c>
      <c r="F15" s="24">
        <f t="shared" si="0"/>
        <v>8.6773954422630865E-3</v>
      </c>
      <c r="G15" s="24">
        <f t="shared" si="1"/>
        <v>6.9406250747267983E-3</v>
      </c>
      <c r="H15" s="24">
        <f t="shared" si="2"/>
        <v>4.8806468793879823E-4</v>
      </c>
      <c r="I15" s="24">
        <f t="shared" si="3"/>
        <v>3.9037912167723816E-4</v>
      </c>
      <c r="J15" s="26"/>
    </row>
    <row r="16" spans="1:10" x14ac:dyDescent="0.3">
      <c r="A16" s="3" t="s">
        <v>20</v>
      </c>
      <c r="B16" s="23">
        <v>3519</v>
      </c>
      <c r="C16" s="23">
        <v>197559.58</v>
      </c>
      <c r="D16" s="23">
        <f>'NWS Rate Riders_working paper'!Q16</f>
        <v>99.45</v>
      </c>
      <c r="E16" s="23">
        <f>'NWS Rate Riders_working paper'!R16</f>
        <v>398.03399999999999</v>
      </c>
      <c r="F16" s="24">
        <f t="shared" si="0"/>
        <v>0.14137084398976982</v>
      </c>
      <c r="G16" s="24">
        <f t="shared" si="1"/>
        <v>0.11310997442455242</v>
      </c>
      <c r="H16" s="24">
        <f t="shared" si="2"/>
        <v>2.5181466775744312E-3</v>
      </c>
      <c r="I16" s="24">
        <f t="shared" si="3"/>
        <v>2.0147542326218754E-3</v>
      </c>
      <c r="J16" s="26"/>
    </row>
    <row r="17" spans="1:9" x14ac:dyDescent="0.3">
      <c r="A17" s="3" t="s">
        <v>21</v>
      </c>
      <c r="B17" s="23">
        <v>197.84</v>
      </c>
      <c r="C17" s="23">
        <v>269025.26</v>
      </c>
      <c r="D17" s="23">
        <v>0</v>
      </c>
      <c r="E17" s="23">
        <v>0</v>
      </c>
      <c r="F17" s="24">
        <v>0</v>
      </c>
      <c r="G17" s="24">
        <v>0</v>
      </c>
      <c r="H17" s="24">
        <v>0</v>
      </c>
      <c r="I17" s="24">
        <v>0</v>
      </c>
    </row>
    <row r="19" spans="1:9" x14ac:dyDescent="0.3">
      <c r="C19" s="5"/>
      <c r="D19" s="25"/>
      <c r="E19" s="25"/>
    </row>
    <row r="20" spans="1:9" x14ac:dyDescent="0.3">
      <c r="C20" s="5"/>
      <c r="D20" s="25"/>
      <c r="E20" s="25"/>
      <c r="F20" s="26"/>
      <c r="H20" s="26"/>
    </row>
    <row r="21" spans="1:9" x14ac:dyDescent="0.3">
      <c r="C21" s="27"/>
      <c r="D21" s="25"/>
      <c r="E21" s="25"/>
    </row>
    <row r="22" spans="1:9" x14ac:dyDescent="0.3">
      <c r="C22" s="5"/>
      <c r="D22" s="25"/>
      <c r="E22" s="25"/>
    </row>
    <row r="23" spans="1:9" x14ac:dyDescent="0.3">
      <c r="C23" s="5"/>
      <c r="D23" s="25"/>
      <c r="E23" s="25"/>
    </row>
    <row r="24" spans="1:9" x14ac:dyDescent="0.3">
      <c r="C24" s="5"/>
      <c r="D24" s="25"/>
      <c r="E24" s="25"/>
    </row>
    <row r="25" spans="1:9" x14ac:dyDescent="0.3">
      <c r="C25" s="5"/>
      <c r="D25" s="25"/>
      <c r="E25" s="25"/>
    </row>
    <row r="26" spans="1:9" x14ac:dyDescent="0.3">
      <c r="C26" s="5"/>
      <c r="D26" s="25"/>
      <c r="E26" s="25"/>
    </row>
    <row r="27" spans="1:9" x14ac:dyDescent="0.3">
      <c r="C27" s="5"/>
      <c r="D27" s="25"/>
      <c r="E27" s="25"/>
    </row>
    <row r="28" spans="1:9" x14ac:dyDescent="0.3">
      <c r="C28" s="5"/>
      <c r="D28" s="25"/>
      <c r="E28" s="25"/>
    </row>
    <row r="29" spans="1:9" x14ac:dyDescent="0.3">
      <c r="C29" s="5"/>
      <c r="D29" s="25"/>
      <c r="E29" s="25"/>
    </row>
    <row r="30" spans="1:9" x14ac:dyDescent="0.3">
      <c r="C30" s="5"/>
      <c r="D30" s="25"/>
      <c r="E30" s="25"/>
    </row>
    <row r="31" spans="1:9" x14ac:dyDescent="0.3">
      <c r="C31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NWS Rate Riders_working paper</vt:lpstr>
      <vt:lpstr>Table 2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Arsalan Mahmud</dc:creator>
  <cp:lastModifiedBy>Gaetana Girardi</cp:lastModifiedBy>
  <dcterms:created xsi:type="dcterms:W3CDTF">2015-06-05T18:17:20Z</dcterms:created>
  <dcterms:modified xsi:type="dcterms:W3CDTF">2026-06-05T02:51:37Z</dcterms:modified>
</cp:coreProperties>
</file>