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ontarioenergyboard-my.sharepoint.com/personal/oconnefi_oeb_ca/Documents/OPG 2027/Expert Reports/IRRs/final/"/>
    </mc:Choice>
  </mc:AlternateContent>
  <xr:revisionPtr revIDLastSave="0" documentId="8_{A2242D8D-CFA6-4817-81F7-5731BF021F83}" xr6:coauthVersionLast="47" xr6:coauthVersionMax="47" xr10:uidLastSave="{00000000-0000-0000-0000-000000000000}"/>
  <bookViews>
    <workbookView xWindow="-110" yWindow="-110" windowWidth="19420" windowHeight="11500" xr2:uid="{00000000-000D-0000-FFFF-FFFF00000000}"/>
  </bookViews>
  <sheets>
    <sheet name="Table 6.3" sheetId="5"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'Table 6.3'!$A$1:$I$74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E25" i="5"/>
  <c r="E18" i="5"/>
  <c r="C170" i="5" l="1"/>
  <c r="C169" i="5"/>
  <c r="C168" i="5"/>
  <c r="C167" i="5"/>
  <c r="C136" i="5"/>
  <c r="C135" i="5"/>
  <c r="C134" i="5"/>
  <c r="C133" i="5"/>
  <c r="C102" i="5"/>
  <c r="C101" i="5"/>
  <c r="C100" i="5"/>
  <c r="C99" i="5"/>
  <c r="C68" i="5"/>
  <c r="C67" i="5"/>
  <c r="C66" i="5"/>
  <c r="C65" i="5"/>
  <c r="C34" i="5"/>
  <c r="C33" i="5"/>
  <c r="C31" i="5"/>
  <c r="E144" i="5"/>
  <c r="E149" i="5" s="1"/>
  <c r="E110" i="5"/>
  <c r="E114" i="5" s="1"/>
  <c r="E76" i="5"/>
  <c r="E80" i="5" s="1"/>
  <c r="E42" i="5"/>
  <c r="E47" i="5" s="1"/>
  <c r="E8" i="5"/>
  <c r="E13" i="5" s="1"/>
  <c r="C161" i="5"/>
  <c r="C154" i="5"/>
  <c r="C153" i="5"/>
  <c r="C149" i="5"/>
  <c r="C148" i="5"/>
  <c r="C146" i="5"/>
  <c r="C127" i="5"/>
  <c r="C120" i="5"/>
  <c r="C119" i="5"/>
  <c r="C115" i="5"/>
  <c r="C114" i="5"/>
  <c r="C112" i="5"/>
  <c r="C93" i="5"/>
  <c r="C86" i="5"/>
  <c r="C85" i="5"/>
  <c r="C81" i="5"/>
  <c r="C80" i="5"/>
  <c r="C78" i="5"/>
  <c r="C59" i="5"/>
  <c r="C52" i="5"/>
  <c r="C51" i="5"/>
  <c r="C47" i="5"/>
  <c r="C46" i="5"/>
  <c r="C44" i="5"/>
  <c r="C32" i="5"/>
  <c r="C25" i="5"/>
  <c r="C18" i="5"/>
  <c r="C17" i="5"/>
  <c r="C13" i="5"/>
  <c r="C12" i="5"/>
  <c r="C10" i="5"/>
  <c r="E81" i="5" l="1"/>
  <c r="E85" i="5" s="1"/>
  <c r="E148" i="5"/>
  <c r="E46" i="5"/>
  <c r="E51" i="5" s="1"/>
  <c r="F144" i="5"/>
  <c r="F149" i="5" s="1"/>
  <c r="E146" i="5"/>
  <c r="F42" i="5"/>
  <c r="F47" i="5" s="1"/>
  <c r="E44" i="5"/>
  <c r="F76" i="5"/>
  <c r="F81" i="5" s="1"/>
  <c r="E78" i="5"/>
  <c r="F8" i="5"/>
  <c r="F13" i="5" s="1"/>
  <c r="E10" i="5"/>
  <c r="E12" i="5"/>
  <c r="E32" i="5" s="1"/>
  <c r="M9" i="5" s="1"/>
  <c r="E153" i="5"/>
  <c r="E161" i="5" s="1"/>
  <c r="E168" i="5" s="1"/>
  <c r="M29" i="5" s="1"/>
  <c r="E115" i="5"/>
  <c r="E119" i="5" s="1"/>
  <c r="E127" i="5" s="1"/>
  <c r="E134" i="5" s="1"/>
  <c r="M24" i="5" s="1"/>
  <c r="F110" i="5"/>
  <c r="F115" i="5" s="1"/>
  <c r="E112" i="5"/>
  <c r="G144" i="5"/>
  <c r="E154" i="5"/>
  <c r="F148" i="5"/>
  <c r="F146" i="5"/>
  <c r="G76" i="5"/>
  <c r="F78" i="5"/>
  <c r="E93" i="5" l="1"/>
  <c r="E100" i="5" s="1"/>
  <c r="M19" i="5" s="1"/>
  <c r="E86" i="5"/>
  <c r="G42" i="5"/>
  <c r="E67" i="5"/>
  <c r="M15" i="5" s="1"/>
  <c r="F44" i="5"/>
  <c r="F80" i="5"/>
  <c r="F85" i="5" s="1"/>
  <c r="F101" i="5" s="1"/>
  <c r="N20" i="5" s="1"/>
  <c r="F12" i="5"/>
  <c r="G8" i="5"/>
  <c r="E101" i="5"/>
  <c r="M20" i="5" s="1"/>
  <c r="F46" i="5"/>
  <c r="F10" i="5"/>
  <c r="E170" i="5"/>
  <c r="M31" i="5" s="1"/>
  <c r="E167" i="5"/>
  <c r="M28" i="5" s="1"/>
  <c r="E135" i="5"/>
  <c r="M25" i="5" s="1"/>
  <c r="E102" i="5"/>
  <c r="M21" i="5" s="1"/>
  <c r="E99" i="5"/>
  <c r="M18" i="5" s="1"/>
  <c r="E33" i="5"/>
  <c r="M10" i="5" s="1"/>
  <c r="E169" i="5"/>
  <c r="M30" i="5" s="1"/>
  <c r="F112" i="5"/>
  <c r="E120" i="5"/>
  <c r="G110" i="5"/>
  <c r="G114" i="5" s="1"/>
  <c r="F114" i="5"/>
  <c r="F119" i="5" s="1"/>
  <c r="F153" i="5"/>
  <c r="F169" i="5" s="1"/>
  <c r="N30" i="5" s="1"/>
  <c r="G149" i="5"/>
  <c r="H144" i="5"/>
  <c r="G148" i="5"/>
  <c r="G146" i="5"/>
  <c r="G81" i="5"/>
  <c r="G80" i="5"/>
  <c r="G78" i="5"/>
  <c r="H76" i="5"/>
  <c r="F17" i="5"/>
  <c r="F18" i="5" s="1"/>
  <c r="E59" i="5"/>
  <c r="E66" i="5" s="1"/>
  <c r="M14" i="5" s="1"/>
  <c r="F51" i="5"/>
  <c r="F59" i="5" s="1"/>
  <c r="F66" i="5" s="1"/>
  <c r="N14" i="5" s="1"/>
  <c r="G47" i="5"/>
  <c r="E52" i="5"/>
  <c r="G44" i="5"/>
  <c r="H42" i="5"/>
  <c r="G13" i="5"/>
  <c r="H8" i="5"/>
  <c r="H12" i="5" s="1"/>
  <c r="G10" i="5"/>
  <c r="G12" i="5"/>
  <c r="G46" i="5"/>
  <c r="G115" i="5" l="1"/>
  <c r="F135" i="5"/>
  <c r="N25" i="5" s="1"/>
  <c r="F31" i="5"/>
  <c r="N8" i="5" s="1"/>
  <c r="F34" i="5"/>
  <c r="N11" i="5" s="1"/>
  <c r="E68" i="5"/>
  <c r="M16" i="5" s="1"/>
  <c r="E65" i="5"/>
  <c r="M13" i="5" s="1"/>
  <c r="H110" i="5"/>
  <c r="H115" i="5" s="1"/>
  <c r="E133" i="5"/>
  <c r="M23" i="5" s="1"/>
  <c r="E136" i="5"/>
  <c r="M26" i="5" s="1"/>
  <c r="E31" i="5"/>
  <c r="E34" i="5"/>
  <c r="M11" i="5" s="1"/>
  <c r="F33" i="5"/>
  <c r="N10" i="5" s="1"/>
  <c r="F67" i="5"/>
  <c r="N15" i="5" s="1"/>
  <c r="G112" i="5"/>
  <c r="G135" i="5" s="1"/>
  <c r="O25" i="5" s="1"/>
  <c r="F25" i="5"/>
  <c r="F32" i="5" s="1"/>
  <c r="N9" i="5" s="1"/>
  <c r="G153" i="5"/>
  <c r="G169" i="5" s="1"/>
  <c r="O30" i="5" s="1"/>
  <c r="H149" i="5"/>
  <c r="I144" i="5"/>
  <c r="H148" i="5"/>
  <c r="H146" i="5"/>
  <c r="F161" i="5"/>
  <c r="F168" i="5" s="1"/>
  <c r="N29" i="5" s="1"/>
  <c r="F154" i="5"/>
  <c r="G119" i="5"/>
  <c r="F127" i="5"/>
  <c r="F134" i="5" s="1"/>
  <c r="N24" i="5" s="1"/>
  <c r="F120" i="5"/>
  <c r="H81" i="5"/>
  <c r="H80" i="5"/>
  <c r="H78" i="5"/>
  <c r="I76" i="5"/>
  <c r="G85" i="5"/>
  <c r="G101" i="5" s="1"/>
  <c r="O20" i="5" s="1"/>
  <c r="F93" i="5"/>
  <c r="F100" i="5" s="1"/>
  <c r="N19" i="5" s="1"/>
  <c r="F86" i="5"/>
  <c r="M8" i="5"/>
  <c r="F52" i="5"/>
  <c r="G51" i="5"/>
  <c r="G52" i="5" s="1"/>
  <c r="I42" i="5"/>
  <c r="I44" i="5" s="1"/>
  <c r="H44" i="5"/>
  <c r="H47" i="5"/>
  <c r="G17" i="5"/>
  <c r="G33" i="5" s="1"/>
  <c r="O10" i="5" s="1"/>
  <c r="H46" i="5"/>
  <c r="I8" i="5"/>
  <c r="I12" i="5" s="1"/>
  <c r="H10" i="5"/>
  <c r="H13" i="5"/>
  <c r="F68" i="5" l="1"/>
  <c r="N16" i="5" s="1"/>
  <c r="F65" i="5"/>
  <c r="N13" i="5" s="1"/>
  <c r="F102" i="5"/>
  <c r="N21" i="5" s="1"/>
  <c r="F99" i="5"/>
  <c r="N18" i="5" s="1"/>
  <c r="F136" i="5"/>
  <c r="N26" i="5" s="1"/>
  <c r="F133" i="5"/>
  <c r="N23" i="5" s="1"/>
  <c r="G68" i="5"/>
  <c r="O16" i="5" s="1"/>
  <c r="G65" i="5"/>
  <c r="O13" i="5" s="1"/>
  <c r="I110" i="5"/>
  <c r="I114" i="5" s="1"/>
  <c r="F170" i="5"/>
  <c r="N31" i="5" s="1"/>
  <c r="F167" i="5"/>
  <c r="N28" i="5" s="1"/>
  <c r="H112" i="5"/>
  <c r="H114" i="5"/>
  <c r="H119" i="5" s="1"/>
  <c r="G67" i="5"/>
  <c r="O15" i="5" s="1"/>
  <c r="I149" i="5"/>
  <c r="I148" i="5"/>
  <c r="I146" i="5"/>
  <c r="H153" i="5"/>
  <c r="H169" i="5" s="1"/>
  <c r="P30" i="5" s="1"/>
  <c r="G161" i="5"/>
  <c r="G168" i="5" s="1"/>
  <c r="O29" i="5" s="1"/>
  <c r="G154" i="5"/>
  <c r="G127" i="5"/>
  <c r="G134" i="5" s="1"/>
  <c r="O24" i="5" s="1"/>
  <c r="G120" i="5"/>
  <c r="G93" i="5"/>
  <c r="G100" i="5" s="1"/>
  <c r="O19" i="5" s="1"/>
  <c r="G86" i="5"/>
  <c r="I81" i="5"/>
  <c r="I80" i="5"/>
  <c r="I78" i="5"/>
  <c r="H85" i="5"/>
  <c r="H101" i="5" s="1"/>
  <c r="P20" i="5" s="1"/>
  <c r="H17" i="5"/>
  <c r="H25" i="5" s="1"/>
  <c r="H32" i="5" s="1"/>
  <c r="P9" i="5" s="1"/>
  <c r="G59" i="5"/>
  <c r="G66" i="5" s="1"/>
  <c r="O14" i="5" s="1"/>
  <c r="I46" i="5"/>
  <c r="I47" i="5"/>
  <c r="H51" i="5"/>
  <c r="H67" i="5" s="1"/>
  <c r="P15" i="5" s="1"/>
  <c r="G18" i="5"/>
  <c r="G25" i="5"/>
  <c r="G32" i="5" s="1"/>
  <c r="O9" i="5" s="1"/>
  <c r="I10" i="5"/>
  <c r="I13" i="5"/>
  <c r="H135" i="5" l="1"/>
  <c r="P25" i="5" s="1"/>
  <c r="H33" i="5"/>
  <c r="P10" i="5" s="1"/>
  <c r="I112" i="5"/>
  <c r="G102" i="5"/>
  <c r="O21" i="5" s="1"/>
  <c r="G99" i="5"/>
  <c r="O18" i="5" s="1"/>
  <c r="I101" i="5"/>
  <c r="Q20" i="5" s="1"/>
  <c r="G136" i="5"/>
  <c r="O26" i="5" s="1"/>
  <c r="G133" i="5"/>
  <c r="O23" i="5" s="1"/>
  <c r="I115" i="5"/>
  <c r="I119" i="5" s="1"/>
  <c r="G170" i="5"/>
  <c r="O31" i="5" s="1"/>
  <c r="G167" i="5"/>
  <c r="O28" i="5" s="1"/>
  <c r="I33" i="5"/>
  <c r="Q10" i="5" s="1"/>
  <c r="G31" i="5"/>
  <c r="O8" i="5" s="1"/>
  <c r="G34" i="5"/>
  <c r="O11" i="5" s="1"/>
  <c r="H18" i="5"/>
  <c r="H161" i="5"/>
  <c r="H168" i="5" s="1"/>
  <c r="P29" i="5" s="1"/>
  <c r="H154" i="5"/>
  <c r="I153" i="5"/>
  <c r="I169" i="5" s="1"/>
  <c r="Q30" i="5" s="1"/>
  <c r="H127" i="5"/>
  <c r="H134" i="5" s="1"/>
  <c r="P24" i="5" s="1"/>
  <c r="H120" i="5"/>
  <c r="H93" i="5"/>
  <c r="H100" i="5" s="1"/>
  <c r="P19" i="5" s="1"/>
  <c r="H86" i="5"/>
  <c r="I85" i="5"/>
  <c r="I17" i="5"/>
  <c r="H52" i="5"/>
  <c r="I51" i="5"/>
  <c r="I67" i="5" s="1"/>
  <c r="Q15" i="5" s="1"/>
  <c r="H59" i="5"/>
  <c r="H66" i="5" s="1"/>
  <c r="P14" i="5" s="1"/>
  <c r="I18" i="5"/>
  <c r="I25" i="5"/>
  <c r="I32" i="5" s="1"/>
  <c r="Q9" i="5" s="1"/>
  <c r="H68" i="5" l="1"/>
  <c r="P16" i="5" s="1"/>
  <c r="H65" i="5"/>
  <c r="P13" i="5" s="1"/>
  <c r="H31" i="5"/>
  <c r="H34" i="5"/>
  <c r="P11" i="5" s="1"/>
  <c r="H102" i="5"/>
  <c r="P21" i="5" s="1"/>
  <c r="H99" i="5"/>
  <c r="P18" i="5" s="1"/>
  <c r="I135" i="5"/>
  <c r="Q25" i="5" s="1"/>
  <c r="I31" i="5"/>
  <c r="Q8" i="5" s="1"/>
  <c r="I34" i="5"/>
  <c r="Q11" i="5" s="1"/>
  <c r="H136" i="5"/>
  <c r="P26" i="5" s="1"/>
  <c r="H133" i="5"/>
  <c r="P23" i="5" s="1"/>
  <c r="H170" i="5"/>
  <c r="P31" i="5" s="1"/>
  <c r="H167" i="5"/>
  <c r="P28" i="5" s="1"/>
  <c r="I161" i="5"/>
  <c r="I168" i="5" s="1"/>
  <c r="Q29" i="5" s="1"/>
  <c r="I154" i="5"/>
  <c r="I127" i="5"/>
  <c r="I134" i="5" s="1"/>
  <c r="Q24" i="5" s="1"/>
  <c r="I120" i="5"/>
  <c r="I93" i="5"/>
  <c r="I100" i="5" s="1"/>
  <c r="Q19" i="5" s="1"/>
  <c r="I86" i="5"/>
  <c r="I52" i="5"/>
  <c r="I59" i="5"/>
  <c r="I66" i="5" s="1"/>
  <c r="Q14" i="5" s="1"/>
  <c r="I170" i="5" l="1"/>
  <c r="Q31" i="5" s="1"/>
  <c r="I167" i="5"/>
  <c r="Q28" i="5" s="1"/>
  <c r="I136" i="5"/>
  <c r="Q26" i="5" s="1"/>
  <c r="I133" i="5"/>
  <c r="Q23" i="5" s="1"/>
  <c r="I68" i="5"/>
  <c r="Q16" i="5" s="1"/>
  <c r="I65" i="5"/>
  <c r="Q13" i="5" s="1"/>
  <c r="P8" i="5"/>
  <c r="I102" i="5"/>
  <c r="Q21" i="5" s="1"/>
  <c r="I99" i="5"/>
  <c r="Q18" i="5" s="1"/>
</calcChain>
</file>

<file path=xl/sharedStrings.xml><?xml version="1.0" encoding="utf-8"?>
<sst xmlns="http://schemas.openxmlformats.org/spreadsheetml/2006/main" count="515" uniqueCount="81">
  <si>
    <t>CREDIT METRICS ANALYSIS</t>
  </si>
  <si>
    <t>Label</t>
  </si>
  <si>
    <t>Item</t>
  </si>
  <si>
    <t>Formula/Source</t>
  </si>
  <si>
    <t>Units</t>
  </si>
  <si>
    <t>[a]</t>
  </si>
  <si>
    <t>Rate Base (financed by capital structure)</t>
  </si>
  <si>
    <t>Ex C1-01-01 (Tables 1-5)</t>
  </si>
  <si>
    <t>$ Millions</t>
  </si>
  <si>
    <t>[b]</t>
  </si>
  <si>
    <t>Return on Equity</t>
  </si>
  <si>
    <t>%</t>
  </si>
  <si>
    <t>[c]</t>
  </si>
  <si>
    <t>Equity Portion</t>
  </si>
  <si>
    <t>Toggle</t>
  </si>
  <si>
    <t>[d]</t>
  </si>
  <si>
    <t>Cost of Debt</t>
  </si>
  <si>
    <t>[e]</t>
  </si>
  <si>
    <t>Total Debt</t>
  </si>
  <si>
    <t>[f]</t>
  </si>
  <si>
    <t>Income Tax Rate</t>
  </si>
  <si>
    <t>Ex F4-02-01 (Table 3d)</t>
  </si>
  <si>
    <t>[g]</t>
  </si>
  <si>
    <t>Net Income</t>
  </si>
  <si>
    <t>[h]</t>
  </si>
  <si>
    <t>Interest Expense</t>
  </si>
  <si>
    <t>[i]</t>
  </si>
  <si>
    <t>Income Taxes</t>
  </si>
  <si>
    <t>Ex F4-02-01 (Tables 3b &amp; 3d)</t>
  </si>
  <si>
    <t>[j]</t>
  </si>
  <si>
    <t>Depreciation</t>
  </si>
  <si>
    <t>Ex F4-01-01 (Tables 1-2), Ex H01-02-01 (Tables 1-2)</t>
  </si>
  <si>
    <t>[k]</t>
  </si>
  <si>
    <t>Cost of Lesser of UNL or ARC</t>
  </si>
  <si>
    <t>Ex C2-01-01 (Tables 1-5)</t>
  </si>
  <si>
    <t>[l]</t>
  </si>
  <si>
    <t>EBITDA</t>
  </si>
  <si>
    <t>[m]</t>
  </si>
  <si>
    <t>Funds from Operations</t>
  </si>
  <si>
    <t>[n]</t>
  </si>
  <si>
    <t>Pension and OPEB Accrual</t>
  </si>
  <si>
    <t>[o]</t>
  </si>
  <si>
    <t>Pension Plan Contributions &amp; OPEB Payments</t>
  </si>
  <si>
    <t>[p]</t>
  </si>
  <si>
    <t>Nuclear Waste Management Expenses</t>
  </si>
  <si>
    <t>[q]</t>
  </si>
  <si>
    <t>Receipts from Nuclear Segregated Funds</t>
  </si>
  <si>
    <t>[r]</t>
  </si>
  <si>
    <t>Cash Expenditures for Nuclear Waste &amp; Decommissioning</t>
  </si>
  <si>
    <t>[s]</t>
  </si>
  <si>
    <t>Contributions to Nuclear Segregated Funds</t>
  </si>
  <si>
    <t>[t]</t>
  </si>
  <si>
    <t>Cashflow from Operations</t>
  </si>
  <si>
    <t>[u]</t>
  </si>
  <si>
    <t>OPEB Liabilities</t>
  </si>
  <si>
    <t>Ex. F4-03-02 Attachment 1</t>
  </si>
  <si>
    <t>[v]</t>
  </si>
  <si>
    <t>Pension Liabilities</t>
  </si>
  <si>
    <t>[w]</t>
  </si>
  <si>
    <t>Pension Allocation</t>
  </si>
  <si>
    <t>Ex. F4-03-02</t>
  </si>
  <si>
    <t>METRICS - CALCULATED</t>
  </si>
  <si>
    <t>FFO/Debt</t>
  </si>
  <si>
    <t>CFO/Debt</t>
  </si>
  <si>
    <t>Notes:</t>
  </si>
  <si>
    <t>General</t>
  </si>
  <si>
    <t>Amounts presented in this schedule are as of November 24, 2025.  Amounts do not reflect OPG's rate shaping proposal or Clean Electricity Investment Tax Credits, which are considered in Canada's 2025 budget but have not yet been passed into law.</t>
  </si>
  <si>
    <t>The Cost of Debt is based on OPG's forecasted Cost of Debt in its rates application, based on the assumptions therein.  A decrease from OPG's proposed equity thickness of 52% would likely increase the Cost of Debt, although, conservatively, no such impact has been reflected in this analysis.</t>
  </si>
  <si>
    <t xml:space="preserve">"Cost of Lesser of UNL or ARC" is subtracted to arrive at EBITDA.  The return on the lesser of the Unfunded Nuclear Liability ("UNL") and the Asset Retirement Cost ("ARC") is different than the return applied to other elements of OPG's rate base. </t>
  </si>
  <si>
    <t>[n] through [s]</t>
  </si>
  <si>
    <t>These adjustments are made to adjust net income for cash and non-cash items to arrive at Cashflow from Operations.</t>
  </si>
  <si>
    <t>[u] and [v]</t>
  </si>
  <si>
    <t>S&amp;P adjusts debt for the after-tax amount of OPEB Liabilities and Pension Liabilities.  Moody's adjusts debt for the pre-tax amount of Pension Liabilities.</t>
  </si>
  <si>
    <t>OPG's pension and OPEB liabilities are not segregated for ratemaking purposes.  This allocation factor allocates a portion of OPG's pension and OPEB liabilities to the prescribed operations.</t>
  </si>
  <si>
    <r>
      <t xml:space="preserve">Key Credit Metrics at </t>
    </r>
    <r>
      <rPr>
        <b/>
        <u/>
        <sz val="9"/>
        <rFont val="Verdana"/>
        <family val="2"/>
      </rPr>
      <t>45% Equity Thickness</t>
    </r>
  </si>
  <si>
    <r>
      <t xml:space="preserve">Key Credit Metrics at </t>
    </r>
    <r>
      <rPr>
        <b/>
        <u/>
        <sz val="9"/>
        <rFont val="Verdana"/>
        <family val="2"/>
      </rPr>
      <t>48.5% Equity Thickness</t>
    </r>
  </si>
  <si>
    <t>Debt/EBITDA</t>
  </si>
  <si>
    <t>FFO/Interest</t>
  </si>
  <si>
    <r>
      <t xml:space="preserve">Key Credit Metrics at </t>
    </r>
    <r>
      <rPr>
        <b/>
        <u/>
        <sz val="9"/>
        <rFont val="Verdana"/>
        <family val="2"/>
      </rPr>
      <t>47% Equity Thickness</t>
    </r>
  </si>
  <si>
    <r>
      <t>Key Credit Metrics at</t>
    </r>
    <r>
      <rPr>
        <b/>
        <sz val="9"/>
        <rFont val="Verdana"/>
        <family val="2"/>
      </rPr>
      <t xml:space="preserve"> </t>
    </r>
    <r>
      <rPr>
        <b/>
        <u/>
        <sz val="9"/>
        <rFont val="Verdana"/>
        <family val="2"/>
      </rPr>
      <t>52% Equity Thickness</t>
    </r>
  </si>
  <si>
    <r>
      <t xml:space="preserve">Key Credit Metrics at </t>
    </r>
    <r>
      <rPr>
        <b/>
        <u/>
        <sz val="9"/>
        <rFont val="Verdana"/>
        <family val="2"/>
      </rPr>
      <t>50% Equity Thickness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</si>
</sst>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_);_(&quot;$&quot;* \(#,##0.0\);_(&quot;$&quot;* &quot;-&quot;??_);_(@_)"/>
    <numFmt numFmtId="165" formatCode="0.0%"/>
    <numFmt numFmtId="166" formatCode="0.0"/>
  </numFmts>
  <fonts count="11"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i/>
      <sz val="12"/>
      <name val="Aptos Narrow"/>
      <family val="2"/>
      <scheme val="minor"/>
    </font>
    <font>
      <sz val="12"/>
      <name val="Aptos Narrow"/>
      <family val="2"/>
      <scheme val="minor"/>
    </font>
    <font>
      <b/>
      <sz val="12"/>
      <name val="Aptos Narrow"/>
      <family val="2"/>
      <scheme val="minor"/>
    </font>
    <font>
      <b/>
      <u/>
      <sz val="12"/>
      <name val="Aptos Narrow"/>
      <family val="2"/>
      <scheme val="minor"/>
    </font>
    <font>
      <sz val="9"/>
      <name val="Verdana"/>
      <family val="2"/>
    </font>
    <font>
      <b/>
      <u/>
      <sz val="9"/>
      <name val="Verdana"/>
      <family val="2"/>
    </font>
    <font>
      <b/>
      <sz val="9"/>
      <name val="Verdana"/>
      <family val="2"/>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3CC135"/>
        <bgColor indexed="64"/>
      </patternFill>
    </fill>
    <fill>
      <patternFill patternType="solid">
        <fgColor rgb="FF269A42"/>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8">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1" fillId="0" borderId="0"/>
    <xf numFmtId="44" fontId="1" fillId="0" borderId="0" applyFont="0" applyFill="0" applyBorder="0" applyAlignment="0" applyProtection="0"/>
    <xf numFmtId="0" fontId="3" fillId="0" borderId="0"/>
  </cellStyleXfs>
  <cellXfs count="31">
    <xf numFmtId="0" fontId="0" fillId="0" borderId="0" xfId="0"/>
    <xf numFmtId="0" fontId="4" fillId="0" borderId="0" xfId="0" applyFont="1" applyAlignment="1">
      <alignment vertical="top"/>
    </xf>
    <xf numFmtId="0" fontId="5" fillId="0" borderId="0" xfId="0" applyFont="1" applyAlignment="1">
      <alignment vertical="top"/>
    </xf>
    <xf numFmtId="0" fontId="6" fillId="0" borderId="1" xfId="0" applyFont="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5" fillId="0" borderId="0" xfId="0" applyFont="1" applyAlignment="1">
      <alignment horizontal="center" vertical="top" wrapText="1"/>
    </xf>
    <xf numFmtId="164" fontId="5" fillId="0" borderId="0" xfId="6" applyNumberFormat="1" applyFont="1" applyFill="1" applyAlignment="1">
      <alignment vertical="top"/>
    </xf>
    <xf numFmtId="10" fontId="5" fillId="0" borderId="0" xfId="0" applyNumberFormat="1" applyFont="1" applyAlignment="1">
      <alignment vertical="top"/>
    </xf>
    <xf numFmtId="9" fontId="5" fillId="0" borderId="0" xfId="0" applyNumberFormat="1" applyFont="1" applyAlignment="1">
      <alignment vertical="top"/>
    </xf>
    <xf numFmtId="0" fontId="7"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centerContinuous" vertical="top"/>
    </xf>
    <xf numFmtId="165" fontId="5" fillId="0" borderId="0" xfId="1" applyNumberFormat="1" applyFont="1" applyFill="1" applyAlignment="1">
      <alignment vertical="top"/>
    </xf>
    <xf numFmtId="165" fontId="5" fillId="0" borderId="0" xfId="0" applyNumberFormat="1" applyFont="1" applyAlignment="1">
      <alignment vertical="top"/>
    </xf>
    <xf numFmtId="0" fontId="8" fillId="0" borderId="2" xfId="0" applyFont="1" applyBorder="1" applyAlignment="1">
      <alignment vertical="top"/>
    </xf>
    <xf numFmtId="0" fontId="8" fillId="0" borderId="2" xfId="0" applyFont="1" applyBorder="1" applyAlignment="1">
      <alignment horizontal="center" vertical="top"/>
    </xf>
    <xf numFmtId="2" fontId="5" fillId="0" borderId="0" xfId="1" applyNumberFormat="1" applyFont="1" applyFill="1" applyAlignment="1">
      <alignment vertical="top"/>
    </xf>
    <xf numFmtId="165" fontId="8" fillId="2" borderId="2" xfId="0" applyNumberFormat="1" applyFont="1" applyFill="1" applyBorder="1" applyAlignment="1">
      <alignment horizontal="center" vertical="top"/>
    </xf>
    <xf numFmtId="165" fontId="8" fillId="3" borderId="2" xfId="0" applyNumberFormat="1" applyFont="1" applyFill="1" applyBorder="1" applyAlignment="1">
      <alignment horizontal="center" vertical="top"/>
    </xf>
    <xf numFmtId="165" fontId="8" fillId="4" borderId="2" xfId="0" applyNumberFormat="1"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6" borderId="2" xfId="0" applyNumberFormat="1" applyFont="1" applyFill="1" applyBorder="1" applyAlignment="1">
      <alignment horizontal="center" vertical="top"/>
    </xf>
    <xf numFmtId="166" fontId="8" fillId="2" borderId="2" xfId="0" applyNumberFormat="1" applyFont="1" applyFill="1" applyBorder="1" applyAlignment="1">
      <alignment horizontal="center" vertical="top"/>
    </xf>
    <xf numFmtId="166" fontId="8" fillId="3" borderId="2" xfId="0" applyNumberFormat="1" applyFont="1" applyFill="1" applyBorder="1" applyAlignment="1">
      <alignment horizontal="center" vertical="top"/>
    </xf>
    <xf numFmtId="166" fontId="8" fillId="4" borderId="2" xfId="0" applyNumberFormat="1" applyFont="1" applyFill="1" applyBorder="1" applyAlignment="1">
      <alignment horizontal="center" vertical="top"/>
    </xf>
    <xf numFmtId="166" fontId="8" fillId="5" borderId="2" xfId="0" applyNumberFormat="1" applyFont="1" applyFill="1" applyBorder="1" applyAlignment="1">
      <alignment horizontal="center" vertical="top"/>
    </xf>
    <xf numFmtId="166" fontId="8" fillId="6" borderId="2" xfId="0" applyNumberFormat="1" applyFont="1" applyFill="1" applyBorder="1" applyAlignment="1">
      <alignment horizontal="center" vertical="top"/>
    </xf>
    <xf numFmtId="0" fontId="8" fillId="0" borderId="2" xfId="0" applyFont="1" applyBorder="1" applyAlignment="1">
      <alignment horizontal="center" vertical="top"/>
    </xf>
    <xf numFmtId="0" fontId="5" fillId="0" borderId="0" xfId="0" applyFont="1" applyAlignment="1">
      <alignment horizontal="left" vertical="top" wrapText="1"/>
    </xf>
    <xf numFmtId="0" fontId="6" fillId="0" borderId="0" xfId="0" quotePrefix="1" applyFont="1" applyAlignment="1">
      <alignment horizontal="center" vertical="top"/>
    </xf>
  </cellXfs>
  <cellStyles count="8">
    <cellStyle name="Currency" xfId="6" builtinId="4"/>
    <cellStyle name="Normal" xfId="0" builtinId="0"/>
    <cellStyle name="Normal 12 50 2" xfId="5" xr:uid="{242047C6-C12D-47D7-B54C-2DC06A4B44E5}"/>
    <cellStyle name="Normal 139" xfId="7" xr:uid="{77FDF716-E503-4BBD-9CE3-47804EC143C9}"/>
    <cellStyle name="Normal 195" xfId="2" xr:uid="{E1A4EF7F-7E1D-4B42-9823-B53A963FAB8A}"/>
    <cellStyle name="Normal 5 3 7" xfId="4" xr:uid="{AAA60A6E-E252-469B-81C7-5CFF10A7D91D}"/>
    <cellStyle name="Normal 6" xfId="3" xr:uid="{CB68E348-BD10-45C1-AAEC-0F2D0FFAD5B4}"/>
    <cellStyle name="Percent" xfId="1" builtinId="5"/>
  </cellStyles>
  <dxfs count="0"/>
  <tableStyles count="0" defaultTableStyle="TableStyleMedium2" defaultPivotStyle="PivotStyleMedium9"/>
  <colors>
    <mruColors>
      <color rgb="FF269A42"/>
      <color rgb="FF3CC135"/>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3844-2B8A-4BEF-9D51-4DC63D2ECD64}">
  <dimension ref="A1:AD171"/>
  <sheetViews>
    <sheetView tabSelected="1" zoomScale="85" zoomScaleNormal="85" workbookViewId="0">
      <selection activeCell="C20" sqref="C20"/>
    </sheetView>
  </sheetViews>
  <sheetFormatPr defaultColWidth="9.1796875" defaultRowHeight="16" x14ac:dyDescent="0.35"/>
  <cols>
    <col min="1" max="1" width="15.54296875" style="2" customWidth="1"/>
    <col min="2" max="2" width="55.453125" style="2" bestFit="1" customWidth="1"/>
    <col min="3" max="3" width="50.7265625" style="2" customWidth="1"/>
    <col min="4" max="4" width="11.453125" style="2" bestFit="1" customWidth="1"/>
    <col min="5" max="9" width="12.453125" style="2" bestFit="1" customWidth="1"/>
    <col min="10" max="11" width="9.1796875" style="2"/>
    <col min="12" max="12" width="12.453125" style="2" bestFit="1" customWidth="1"/>
    <col min="13" max="13" width="10.453125" style="2" customWidth="1"/>
    <col min="14" max="14" width="11" style="2" customWidth="1"/>
    <col min="15" max="15" width="10.1796875" style="2" customWidth="1"/>
    <col min="16" max="16" width="9.81640625" style="2" customWidth="1"/>
    <col min="17" max="17" width="10.453125" style="2" customWidth="1"/>
    <col min="18" max="16384" width="9.1796875" style="2"/>
  </cols>
  <sheetData>
    <row r="1" spans="1:30" x14ac:dyDescent="0.35">
      <c r="A1" s="1"/>
    </row>
    <row r="2" spans="1:30" x14ac:dyDescent="0.35">
      <c r="A2" s="12" t="s">
        <v>0</v>
      </c>
      <c r="B2" s="12"/>
      <c r="C2" s="12"/>
      <c r="D2" s="12"/>
      <c r="E2" s="12"/>
      <c r="F2" s="12"/>
      <c r="G2" s="12"/>
      <c r="H2" s="12"/>
      <c r="I2" s="12"/>
    </row>
    <row r="4" spans="1:30" x14ac:dyDescent="0.35">
      <c r="A4" s="30">
        <v>45</v>
      </c>
      <c r="B4" s="30"/>
      <c r="C4" s="30"/>
      <c r="D4" s="30"/>
      <c r="E4" s="30"/>
      <c r="F4" s="30"/>
      <c r="G4" s="30"/>
      <c r="H4" s="30"/>
      <c r="I4" s="30"/>
    </row>
    <row r="5" spans="1:30" x14ac:dyDescent="0.35">
      <c r="A5" s="3" t="s">
        <v>1</v>
      </c>
      <c r="B5" s="3" t="s">
        <v>2</v>
      </c>
      <c r="C5" s="3" t="s">
        <v>3</v>
      </c>
      <c r="D5" s="3" t="s">
        <v>4</v>
      </c>
      <c r="E5" s="3">
        <v>2027</v>
      </c>
      <c r="F5" s="3">
        <v>2028</v>
      </c>
      <c r="G5" s="3">
        <v>2029</v>
      </c>
      <c r="H5" s="3">
        <v>2030</v>
      </c>
      <c r="I5" s="3">
        <v>2031</v>
      </c>
      <c r="V5" s="11" t="s">
        <v>64</v>
      </c>
    </row>
    <row r="6" spans="1:30" x14ac:dyDescent="0.35">
      <c r="A6" s="4" t="s">
        <v>5</v>
      </c>
      <c r="B6" s="5" t="s">
        <v>6</v>
      </c>
      <c r="C6" s="6" t="s">
        <v>7</v>
      </c>
      <c r="D6" s="4" t="s">
        <v>8</v>
      </c>
      <c r="E6" s="7">
        <v>24929.8</v>
      </c>
      <c r="F6" s="7">
        <v>26015.4</v>
      </c>
      <c r="G6" s="7">
        <v>27079</v>
      </c>
      <c r="H6" s="7">
        <v>28338.6</v>
      </c>
      <c r="I6" s="7">
        <v>35595.300000000003</v>
      </c>
      <c r="L6" s="15"/>
      <c r="M6" s="16">
        <v>2027</v>
      </c>
      <c r="N6" s="16">
        <v>2028</v>
      </c>
      <c r="O6" s="16">
        <v>2029</v>
      </c>
      <c r="P6" s="16">
        <v>2030</v>
      </c>
      <c r="Q6" s="16">
        <v>2031</v>
      </c>
      <c r="V6" s="4" t="s">
        <v>65</v>
      </c>
      <c r="W6" s="29" t="s">
        <v>66</v>
      </c>
      <c r="X6" s="29"/>
      <c r="Y6" s="29"/>
      <c r="Z6" s="29"/>
      <c r="AA6" s="29"/>
      <c r="AB6" s="29"/>
      <c r="AC6" s="29"/>
      <c r="AD6" s="29"/>
    </row>
    <row r="7" spans="1:30" x14ac:dyDescent="0.35">
      <c r="A7" s="4" t="s">
        <v>9</v>
      </c>
      <c r="B7" s="5" t="s">
        <v>10</v>
      </c>
      <c r="C7" s="6" t="s">
        <v>7</v>
      </c>
      <c r="D7" s="4" t="s">
        <v>11</v>
      </c>
      <c r="E7" s="8">
        <v>9.11E-2</v>
      </c>
      <c r="F7" s="8">
        <v>9.11E-2</v>
      </c>
      <c r="G7" s="8">
        <v>9.11E-2</v>
      </c>
      <c r="H7" s="8">
        <v>9.11E-2</v>
      </c>
      <c r="I7" s="8">
        <v>9.11E-2</v>
      </c>
      <c r="L7" s="28" t="s">
        <v>74</v>
      </c>
      <c r="M7" s="28"/>
      <c r="N7" s="28"/>
      <c r="O7" s="28"/>
      <c r="P7" s="28"/>
      <c r="Q7" s="28"/>
      <c r="V7" s="4" t="s">
        <v>24</v>
      </c>
      <c r="W7" s="29" t="s">
        <v>67</v>
      </c>
      <c r="X7" s="29"/>
      <c r="Y7" s="29"/>
      <c r="Z7" s="29"/>
      <c r="AA7" s="29"/>
      <c r="AB7" s="29"/>
      <c r="AC7" s="29"/>
      <c r="AD7" s="29"/>
    </row>
    <row r="8" spans="1:30" x14ac:dyDescent="0.35">
      <c r="A8" s="4" t="s">
        <v>12</v>
      </c>
      <c r="B8" s="5" t="s">
        <v>13</v>
      </c>
      <c r="C8" s="6" t="s">
        <v>14</v>
      </c>
      <c r="D8" s="4" t="s">
        <v>11</v>
      </c>
      <c r="E8" s="9">
        <f>A4%</f>
        <v>0.45</v>
      </c>
      <c r="F8" s="9">
        <f>E8</f>
        <v>0.45</v>
      </c>
      <c r="G8" s="9">
        <f t="shared" ref="G8:I8" si="0">F8</f>
        <v>0.45</v>
      </c>
      <c r="H8" s="9">
        <f t="shared" si="0"/>
        <v>0.45</v>
      </c>
      <c r="I8" s="9">
        <f t="shared" si="0"/>
        <v>0.45</v>
      </c>
      <c r="L8" s="15" t="s">
        <v>62</v>
      </c>
      <c r="M8" s="18">
        <f>E31</f>
        <v>0.12399251871670418</v>
      </c>
      <c r="N8" s="18">
        <f t="shared" ref="N8:Q8" si="1">F31</f>
        <v>0.12557872855955654</v>
      </c>
      <c r="O8" s="18">
        <f t="shared" si="1"/>
        <v>0.12595513913976825</v>
      </c>
      <c r="P8" s="18">
        <f t="shared" si="1"/>
        <v>0.12545871189600291</v>
      </c>
      <c r="Q8" s="18">
        <f t="shared" si="1"/>
        <v>0.12591410079708029</v>
      </c>
      <c r="V8" s="4" t="s">
        <v>32</v>
      </c>
      <c r="W8" s="29" t="s">
        <v>68</v>
      </c>
      <c r="X8" s="29"/>
      <c r="Y8" s="29"/>
      <c r="Z8" s="29"/>
      <c r="AA8" s="29"/>
      <c r="AB8" s="29"/>
      <c r="AC8" s="29"/>
      <c r="AD8" s="29"/>
    </row>
    <row r="9" spans="1:30" x14ac:dyDescent="0.35">
      <c r="A9" s="4" t="s">
        <v>15</v>
      </c>
      <c r="B9" s="5" t="s">
        <v>16</v>
      </c>
      <c r="C9" s="6" t="s">
        <v>7</v>
      </c>
      <c r="D9" s="4" t="s">
        <v>11</v>
      </c>
      <c r="E9" s="8">
        <v>4.5999999999999999E-2</v>
      </c>
      <c r="F9" s="8">
        <v>4.7800000000000002E-2</v>
      </c>
      <c r="G9" s="8">
        <v>4.9000000000000002E-2</v>
      </c>
      <c r="H9" s="8">
        <v>4.9599999999999998E-2</v>
      </c>
      <c r="I9" s="8">
        <v>4.9799999999999997E-2</v>
      </c>
      <c r="L9" s="15" t="s">
        <v>63</v>
      </c>
      <c r="M9" s="18">
        <f t="shared" ref="M9:Q9" si="2">E32</f>
        <v>0.13479530931231662</v>
      </c>
      <c r="N9" s="18">
        <f t="shared" si="2"/>
        <v>0.13878280614907709</v>
      </c>
      <c r="O9" s="18">
        <f t="shared" si="2"/>
        <v>0.14176068840669706</v>
      </c>
      <c r="P9" s="18">
        <f t="shared" si="2"/>
        <v>0.14041233231365743</v>
      </c>
      <c r="Q9" s="18">
        <f t="shared" si="2"/>
        <v>0.13827488056434312</v>
      </c>
      <c r="V9" s="4" t="s">
        <v>69</v>
      </c>
      <c r="W9" s="2" t="s">
        <v>70</v>
      </c>
    </row>
    <row r="10" spans="1:30" x14ac:dyDescent="0.35">
      <c r="A10" s="4" t="s">
        <v>17</v>
      </c>
      <c r="B10" s="5" t="s">
        <v>18</v>
      </c>
      <c r="C10" s="4" t="str">
        <f>A6&amp;"*(1-"&amp;A8&amp;")"</f>
        <v>[a]*(1-[c])</v>
      </c>
      <c r="D10" s="4" t="s">
        <v>8</v>
      </c>
      <c r="E10" s="7">
        <f>E6*(1-E8)</f>
        <v>13711.390000000001</v>
      </c>
      <c r="F10" s="7">
        <f>F6*(1-F8)</f>
        <v>14308.470000000001</v>
      </c>
      <c r="G10" s="7">
        <f>G6*(1-G8)</f>
        <v>14893.45</v>
      </c>
      <c r="H10" s="7">
        <f>H6*(1-H8)</f>
        <v>15586.23</v>
      </c>
      <c r="I10" s="7">
        <f>I6*(1-I8)</f>
        <v>19577.415000000005</v>
      </c>
      <c r="L10" s="15" t="s">
        <v>76</v>
      </c>
      <c r="M10" s="23">
        <f t="shared" ref="M10:Q10" si="3">E33</f>
        <v>5.1994580306212494</v>
      </c>
      <c r="N10" s="23">
        <f t="shared" si="3"/>
        <v>5.0457575636771175</v>
      </c>
      <c r="O10" s="23">
        <f t="shared" si="3"/>
        <v>4.9833301249208031</v>
      </c>
      <c r="P10" s="23">
        <f t="shared" si="3"/>
        <v>4.9730428170254379</v>
      </c>
      <c r="Q10" s="23">
        <f t="shared" si="3"/>
        <v>5.0663821358508763</v>
      </c>
      <c r="V10" s="4" t="s">
        <v>71</v>
      </c>
      <c r="W10" s="2" t="s">
        <v>72</v>
      </c>
    </row>
    <row r="11" spans="1:30" x14ac:dyDescent="0.35">
      <c r="A11" s="4" t="s">
        <v>19</v>
      </c>
      <c r="B11" s="5" t="s">
        <v>20</v>
      </c>
      <c r="C11" s="4" t="s">
        <v>21</v>
      </c>
      <c r="D11" s="4" t="s">
        <v>11</v>
      </c>
      <c r="E11" s="9">
        <v>0.25</v>
      </c>
      <c r="F11" s="9">
        <v>0.25</v>
      </c>
      <c r="G11" s="9">
        <v>0.25</v>
      </c>
      <c r="H11" s="9">
        <v>0.25</v>
      </c>
      <c r="I11" s="9">
        <v>0.25</v>
      </c>
      <c r="L11" s="15" t="s">
        <v>77</v>
      </c>
      <c r="M11" s="23">
        <f t="shared" ref="M11:Q11" si="4">E34</f>
        <v>3.1590637751914099</v>
      </c>
      <c r="N11" s="23">
        <f t="shared" si="4"/>
        <v>3.0686703378222302</v>
      </c>
      <c r="O11" s="23">
        <f t="shared" si="4"/>
        <v>2.9962542840877657</v>
      </c>
      <c r="P11" s="23">
        <f t="shared" si="4"/>
        <v>2.9401222432940344</v>
      </c>
      <c r="Q11" s="23">
        <f t="shared" si="4"/>
        <v>2.8630332262208289</v>
      </c>
      <c r="V11" s="4" t="s">
        <v>58</v>
      </c>
      <c r="W11" s="29" t="s">
        <v>73</v>
      </c>
      <c r="X11" s="29"/>
      <c r="Y11" s="29"/>
      <c r="Z11" s="29"/>
      <c r="AA11" s="29"/>
      <c r="AB11" s="29"/>
      <c r="AC11" s="29"/>
      <c r="AD11" s="29"/>
    </row>
    <row r="12" spans="1:30" x14ac:dyDescent="0.35">
      <c r="A12" s="4" t="s">
        <v>22</v>
      </c>
      <c r="B12" s="5" t="s">
        <v>23</v>
      </c>
      <c r="C12" s="6" t="str">
        <f>A6&amp;"*"&amp;A7&amp;"*"&amp;A8</f>
        <v>[a]*[b]*[c]</v>
      </c>
      <c r="D12" s="4" t="s">
        <v>8</v>
      </c>
      <c r="E12" s="7">
        <f>E6*E7*E8</f>
        <v>1021.997151</v>
      </c>
      <c r="F12" s="7">
        <f>F6*F7*F8</f>
        <v>1066.5013230000002</v>
      </c>
      <c r="G12" s="7">
        <f>G6*G7*G8</f>
        <v>1110.103605</v>
      </c>
      <c r="H12" s="7">
        <f>H6*H7*H8</f>
        <v>1161.7409070000001</v>
      </c>
      <c r="I12" s="7">
        <f>I6*I7*I8</f>
        <v>1459.2293235000002</v>
      </c>
      <c r="L12" s="28" t="s">
        <v>78</v>
      </c>
      <c r="M12" s="28"/>
      <c r="N12" s="28"/>
      <c r="O12" s="28"/>
      <c r="P12" s="28"/>
      <c r="Q12" s="28"/>
    </row>
    <row r="13" spans="1:30" x14ac:dyDescent="0.35">
      <c r="A13" s="4" t="s">
        <v>24</v>
      </c>
      <c r="B13" s="5" t="s">
        <v>25</v>
      </c>
      <c r="C13" s="6" t="str">
        <f>A6&amp;"*(1-"&amp;A7&amp;")*"&amp;A9</f>
        <v>[a]*(1-[b])*[d]</v>
      </c>
      <c r="D13" s="4" t="s">
        <v>8</v>
      </c>
      <c r="E13" s="7">
        <f>E6*(1-E8)*E9</f>
        <v>630.72394000000008</v>
      </c>
      <c r="F13" s="7">
        <f>F6*(1-F8)*F9</f>
        <v>683.94486600000005</v>
      </c>
      <c r="G13" s="7">
        <f>G6*(1-G8)*G9</f>
        <v>729.7790500000001</v>
      </c>
      <c r="H13" s="7">
        <f>H6*(1-H8)*H9</f>
        <v>773.07700799999998</v>
      </c>
      <c r="I13" s="7">
        <f>I6*(1-I8)*I9</f>
        <v>974.95526700000016</v>
      </c>
      <c r="L13" s="15" t="s">
        <v>62</v>
      </c>
      <c r="M13" s="19">
        <f>E65</f>
        <v>0.13087999964746544</v>
      </c>
      <c r="N13" s="19">
        <f t="shared" ref="N13:Q13" si="5">F65</f>
        <v>0.13254109481242299</v>
      </c>
      <c r="O13" s="19">
        <f t="shared" si="5"/>
        <v>0.13294458760311592</v>
      </c>
      <c r="P13" s="19">
        <f t="shared" si="5"/>
        <v>0.13245230263031096</v>
      </c>
      <c r="Q13" s="19">
        <f t="shared" si="5"/>
        <v>0.13311438118213587</v>
      </c>
    </row>
    <row r="14" spans="1:30" x14ac:dyDescent="0.35">
      <c r="A14" s="4" t="s">
        <v>26</v>
      </c>
      <c r="B14" s="5" t="s">
        <v>27</v>
      </c>
      <c r="C14" s="6" t="s">
        <v>28</v>
      </c>
      <c r="D14" s="4" t="s">
        <v>8</v>
      </c>
      <c r="E14" s="7">
        <v>13.859527643192337</v>
      </c>
      <c r="F14" s="7">
        <v>52.996475887894583</v>
      </c>
      <c r="G14" s="7">
        <v>72.271443094031412</v>
      </c>
      <c r="H14" s="7">
        <v>88.12562115453153</v>
      </c>
      <c r="I14" s="7">
        <v>97.895898663212677</v>
      </c>
      <c r="L14" s="15" t="s">
        <v>63</v>
      </c>
      <c r="M14" s="19">
        <f t="shared" ref="M14:Q14" si="6">E66</f>
        <v>0.14310837742725688</v>
      </c>
      <c r="N14" s="19">
        <f t="shared" si="6"/>
        <v>0.14727204847504777</v>
      </c>
      <c r="O14" s="19">
        <f t="shared" si="6"/>
        <v>0.15039135992122193</v>
      </c>
      <c r="P14" s="19">
        <f t="shared" si="6"/>
        <v>0.14902312591306935</v>
      </c>
      <c r="Q14" s="19">
        <f t="shared" si="6"/>
        <v>0.14684946360820639</v>
      </c>
    </row>
    <row r="15" spans="1:30" x14ac:dyDescent="0.35">
      <c r="A15" s="4" t="s">
        <v>29</v>
      </c>
      <c r="B15" s="5" t="s">
        <v>30</v>
      </c>
      <c r="C15" s="6" t="s">
        <v>31</v>
      </c>
      <c r="D15" s="4" t="s">
        <v>8</v>
      </c>
      <c r="E15" s="7">
        <v>975.2</v>
      </c>
      <c r="F15" s="7">
        <v>1033.4000000000001</v>
      </c>
      <c r="G15" s="7">
        <v>1076.5</v>
      </c>
      <c r="H15" s="7">
        <v>1111.2</v>
      </c>
      <c r="I15" s="7">
        <v>1332.1</v>
      </c>
      <c r="L15" s="15" t="s">
        <v>76</v>
      </c>
      <c r="M15" s="24">
        <f t="shared" ref="M15:Q15" si="7">E67</f>
        <v>4.9680239370997912</v>
      </c>
      <c r="N15" s="24">
        <f t="shared" si="7"/>
        <v>4.823950272677779</v>
      </c>
      <c r="O15" s="24">
        <f t="shared" si="7"/>
        <v>4.7657600162060252</v>
      </c>
      <c r="P15" s="24">
        <f t="shared" si="7"/>
        <v>4.7565083774046766</v>
      </c>
      <c r="Q15" s="24">
        <f t="shared" si="7"/>
        <v>4.8452833399179971</v>
      </c>
    </row>
    <row r="16" spans="1:30" x14ac:dyDescent="0.35">
      <c r="A16" s="4" t="s">
        <v>32</v>
      </c>
      <c r="B16" s="5" t="s">
        <v>33</v>
      </c>
      <c r="C16" s="6" t="s">
        <v>34</v>
      </c>
      <c r="D16" s="4" t="s">
        <v>8</v>
      </c>
      <c r="E16" s="7">
        <v>4.7</v>
      </c>
      <c r="F16" s="7">
        <v>1.1000000000000001</v>
      </c>
      <c r="G16" s="7">
        <v>0</v>
      </c>
      <c r="H16" s="7">
        <v>0</v>
      </c>
      <c r="I16" s="7">
        <v>0</v>
      </c>
      <c r="L16" s="15" t="s">
        <v>77</v>
      </c>
      <c r="M16" s="24">
        <f t="shared" ref="M16:Q16" si="8">E68</f>
        <v>3.3530071169951872</v>
      </c>
      <c r="N16" s="24">
        <f t="shared" si="8"/>
        <v>3.256388378516871</v>
      </c>
      <c r="O16" s="24">
        <f t="shared" si="8"/>
        <v>3.1794783579578465</v>
      </c>
      <c r="P16" s="24">
        <f t="shared" si="8"/>
        <v>3.1203794429801146</v>
      </c>
      <c r="Q16" s="24">
        <f t="shared" si="8"/>
        <v>3.0401030562320415</v>
      </c>
    </row>
    <row r="17" spans="1:17" x14ac:dyDescent="0.35">
      <c r="A17" s="4" t="s">
        <v>35</v>
      </c>
      <c r="B17" s="5" t="s">
        <v>36</v>
      </c>
      <c r="C17" s="6" t="str">
        <f>A12&amp;"+"&amp;A13&amp;"+"&amp;A14&amp;"+"&amp;A15&amp;"-"&amp;A16</f>
        <v>[g]+[h]+[i]+[j]-[k]</v>
      </c>
      <c r="D17" s="4" t="s">
        <v>8</v>
      </c>
      <c r="E17" s="7">
        <f>E12+E13+E14+E15-E16</f>
        <v>2637.0806186431928</v>
      </c>
      <c r="F17" s="7">
        <f t="shared" ref="F17:I17" si="9">F12+F13+F14+F15-F16</f>
        <v>2835.742664887895</v>
      </c>
      <c r="G17" s="7">
        <f t="shared" si="9"/>
        <v>2988.6540980940317</v>
      </c>
      <c r="H17" s="7">
        <f t="shared" si="9"/>
        <v>3134.1435361545318</v>
      </c>
      <c r="I17" s="7">
        <f t="shared" si="9"/>
        <v>3864.1804891632132</v>
      </c>
      <c r="L17" s="28" t="s">
        <v>75</v>
      </c>
      <c r="M17" s="28"/>
      <c r="N17" s="28"/>
      <c r="O17" s="28"/>
      <c r="P17" s="28"/>
      <c r="Q17" s="28"/>
    </row>
    <row r="18" spans="1:17" x14ac:dyDescent="0.35">
      <c r="A18" s="4" t="s">
        <v>37</v>
      </c>
      <c r="B18" s="5" t="s">
        <v>38</v>
      </c>
      <c r="C18" s="6" t="str">
        <f>A17&amp;"-"&amp;A13&amp;"-"&amp;A14</f>
        <v>[l]-[h]-[i]</v>
      </c>
      <c r="D18" s="4" t="s">
        <v>8</v>
      </c>
      <c r="E18" s="7">
        <f>E17-E13-E14</f>
        <v>1992.4971510000005</v>
      </c>
      <c r="F18" s="7">
        <f t="shared" ref="F18:I18" si="10">F17-F13-F14</f>
        <v>2098.8013230000001</v>
      </c>
      <c r="G18" s="7">
        <f t="shared" si="10"/>
        <v>2186.6036050000002</v>
      </c>
      <c r="H18" s="7">
        <f t="shared" si="10"/>
        <v>2272.9409070000002</v>
      </c>
      <c r="I18" s="7">
        <f t="shared" si="10"/>
        <v>2791.3293235000001</v>
      </c>
      <c r="L18" s="15" t="s">
        <v>62</v>
      </c>
      <c r="M18" s="20">
        <f>E99</f>
        <v>0.1363421972845352</v>
      </c>
      <c r="N18" s="20">
        <f t="shared" ref="N18:Q18" si="11">F99</f>
        <v>0.13806374794387574</v>
      </c>
      <c r="O18" s="20">
        <f t="shared" si="11"/>
        <v>0.1384893878806506</v>
      </c>
      <c r="P18" s="20">
        <f t="shared" si="11"/>
        <v>0.13800128497010164</v>
      </c>
      <c r="Q18" s="20">
        <f t="shared" si="11"/>
        <v>0.13883614550132359</v>
      </c>
    </row>
    <row r="19" spans="1:17" x14ac:dyDescent="0.35">
      <c r="A19" s="4" t="s">
        <v>39</v>
      </c>
      <c r="B19" s="5" t="s">
        <v>40</v>
      </c>
      <c r="C19" s="6" t="s">
        <v>28</v>
      </c>
      <c r="D19" s="4" t="s">
        <v>8</v>
      </c>
      <c r="E19" s="7">
        <v>270.8</v>
      </c>
      <c r="F19" s="7">
        <v>270.39999999999998</v>
      </c>
      <c r="G19" s="7">
        <v>278.8</v>
      </c>
      <c r="H19" s="7">
        <v>284.60000000000002</v>
      </c>
      <c r="I19" s="7">
        <v>296.7</v>
      </c>
      <c r="L19" s="15" t="s">
        <v>63</v>
      </c>
      <c r="M19" s="20">
        <f t="shared" ref="M19:Q19" si="12">E100</f>
        <v>0.14975610239964335</v>
      </c>
      <c r="N19" s="20">
        <f t="shared" si="12"/>
        <v>0.15406216379224785</v>
      </c>
      <c r="O19" s="20">
        <f t="shared" si="12"/>
        <v>0.15729621630680474</v>
      </c>
      <c r="P19" s="20">
        <f t="shared" si="12"/>
        <v>0.15591363384861243</v>
      </c>
      <c r="Q19" s="20">
        <f t="shared" si="12"/>
        <v>0.15371324315045515</v>
      </c>
    </row>
    <row r="20" spans="1:17" x14ac:dyDescent="0.35">
      <c r="A20" s="4" t="s">
        <v>41</v>
      </c>
      <c r="B20" s="5" t="s">
        <v>42</v>
      </c>
      <c r="C20" s="6" t="s">
        <v>28</v>
      </c>
      <c r="D20" s="4" t="s">
        <v>8</v>
      </c>
      <c r="E20" s="7">
        <v>261</v>
      </c>
      <c r="F20" s="7">
        <v>269.8</v>
      </c>
      <c r="G20" s="7">
        <v>285.39999999999998</v>
      </c>
      <c r="H20" s="7">
        <v>294.60000000000002</v>
      </c>
      <c r="I20" s="7">
        <v>305.3</v>
      </c>
      <c r="L20" s="15" t="s">
        <v>76</v>
      </c>
      <c r="M20" s="25">
        <f t="shared" ref="M20:Q20" si="13">E101</f>
        <v>4.7970004553810321</v>
      </c>
      <c r="N20" s="25">
        <f t="shared" si="13"/>
        <v>4.6598759875613762</v>
      </c>
      <c r="O20" s="25">
        <f t="shared" si="13"/>
        <v>4.6047322828364399</v>
      </c>
      <c r="P20" s="25">
        <f t="shared" si="13"/>
        <v>4.5962127666868975</v>
      </c>
      <c r="Q20" s="25">
        <f t="shared" si="13"/>
        <v>4.6816382385996658</v>
      </c>
    </row>
    <row r="21" spans="1:17" x14ac:dyDescent="0.35">
      <c r="A21" s="4" t="s">
        <v>43</v>
      </c>
      <c r="B21" s="5" t="s">
        <v>44</v>
      </c>
      <c r="C21" s="6" t="s">
        <v>28</v>
      </c>
      <c r="D21" s="4" t="s">
        <v>8</v>
      </c>
      <c r="E21" s="7">
        <v>30.4</v>
      </c>
      <c r="F21" s="7">
        <v>47.2</v>
      </c>
      <c r="G21" s="7">
        <v>58.9</v>
      </c>
      <c r="H21" s="7">
        <v>72.900000000000006</v>
      </c>
      <c r="I21" s="7">
        <v>79.099999999999994</v>
      </c>
      <c r="L21" s="15" t="s">
        <v>77</v>
      </c>
      <c r="M21" s="25">
        <f t="shared" ref="M21:Q21" si="14">E102</f>
        <v>3.5083500849448148</v>
      </c>
      <c r="N21" s="25">
        <f t="shared" si="14"/>
        <v>3.4067450615975319</v>
      </c>
      <c r="O21" s="25">
        <f t="shared" si="14"/>
        <v>3.3262355045042722</v>
      </c>
      <c r="P21" s="25">
        <f t="shared" si="14"/>
        <v>3.2647602097189665</v>
      </c>
      <c r="Q21" s="25">
        <f t="shared" si="14"/>
        <v>3.1819308326973323</v>
      </c>
    </row>
    <row r="22" spans="1:17" x14ac:dyDescent="0.35">
      <c r="A22" s="4" t="s">
        <v>45</v>
      </c>
      <c r="B22" s="5" t="s">
        <v>46</v>
      </c>
      <c r="C22" s="6" t="s">
        <v>28</v>
      </c>
      <c r="D22" s="4" t="s">
        <v>8</v>
      </c>
      <c r="E22" s="7">
        <v>498.2</v>
      </c>
      <c r="F22" s="7">
        <v>420.1</v>
      </c>
      <c r="G22" s="7">
        <v>347.2</v>
      </c>
      <c r="H22" s="7">
        <v>326.7</v>
      </c>
      <c r="I22" s="7">
        <v>342</v>
      </c>
      <c r="L22" s="28" t="s">
        <v>80</v>
      </c>
      <c r="M22" s="28"/>
      <c r="N22" s="28"/>
      <c r="O22" s="28"/>
      <c r="P22" s="28"/>
      <c r="Q22" s="28"/>
    </row>
    <row r="23" spans="1:17" x14ac:dyDescent="0.35">
      <c r="A23" s="4" t="s">
        <v>47</v>
      </c>
      <c r="B23" s="5" t="s">
        <v>48</v>
      </c>
      <c r="C23" s="6" t="s">
        <v>28</v>
      </c>
      <c r="D23" s="4" t="s">
        <v>8</v>
      </c>
      <c r="E23" s="7">
        <v>637.4</v>
      </c>
      <c r="F23" s="7">
        <v>539.1</v>
      </c>
      <c r="G23" s="7">
        <v>437.9</v>
      </c>
      <c r="H23" s="7">
        <v>443.3</v>
      </c>
      <c r="I23" s="7">
        <v>472.1</v>
      </c>
      <c r="L23" s="15" t="s">
        <v>62</v>
      </c>
      <c r="M23" s="21">
        <f>E133</f>
        <v>0.14207998984035419</v>
      </c>
      <c r="N23" s="21">
        <f t="shared" ref="N23:Q23" si="15">F133</f>
        <v>0.14386606287169279</v>
      </c>
      <c r="O23" s="21">
        <f t="shared" si="15"/>
        <v>0.14431560545834887</v>
      </c>
      <c r="P23" s="21">
        <f t="shared" si="15"/>
        <v>0.1438327511268018</v>
      </c>
      <c r="Q23" s="21">
        <f t="shared" si="15"/>
        <v>0.14485758664615778</v>
      </c>
    </row>
    <row r="24" spans="1:17" x14ac:dyDescent="0.35">
      <c r="A24" s="4" t="s">
        <v>49</v>
      </c>
      <c r="B24" s="5" t="s">
        <v>50</v>
      </c>
      <c r="C24" s="6" t="s">
        <v>28</v>
      </c>
      <c r="D24" s="4" t="s">
        <v>8</v>
      </c>
      <c r="E24" s="7">
        <v>0</v>
      </c>
      <c r="F24" s="7">
        <v>0</v>
      </c>
      <c r="G24" s="7">
        <v>0</v>
      </c>
      <c r="H24" s="7">
        <v>0</v>
      </c>
      <c r="I24" s="7">
        <v>0</v>
      </c>
      <c r="L24" s="15" t="s">
        <v>63</v>
      </c>
      <c r="M24" s="21">
        <f t="shared" ref="M24:Q24" si="16">E134</f>
        <v>0.15679222709607479</v>
      </c>
      <c r="N24" s="21">
        <f t="shared" si="16"/>
        <v>0.16125045927309176</v>
      </c>
      <c r="O24" s="21">
        <f t="shared" si="16"/>
        <v>0.16460754997038041</v>
      </c>
      <c r="P24" s="21">
        <f t="shared" si="16"/>
        <v>0.1632112812316435</v>
      </c>
      <c r="Q24" s="21">
        <f t="shared" si="16"/>
        <v>0.16098476296268233</v>
      </c>
    </row>
    <row r="25" spans="1:17" x14ac:dyDescent="0.35">
      <c r="A25" s="4" t="s">
        <v>51</v>
      </c>
      <c r="B25" s="5" t="s">
        <v>52</v>
      </c>
      <c r="C25" s="6" t="str">
        <f>A17&amp;"-"&amp;A13&amp;"-"&amp;A14&amp;"+"&amp;A19&amp;"-"&amp;A20&amp;"+"&amp;A21&amp;"+"&amp;A22&amp;"-"&amp;A23&amp;"-"&amp;A24</f>
        <v>[l]-[h]-[i]+[n]-[o]+[p]+[q]-[r]-[s]</v>
      </c>
      <c r="D25" s="4" t="s">
        <v>8</v>
      </c>
      <c r="E25" s="7">
        <f>E17-E13-E14+E19-E20+E21+E22-E23-E24</f>
        <v>1893.4971510000005</v>
      </c>
      <c r="F25" s="7">
        <f t="shared" ref="F25:I25" si="17">F17-F13-F14+F19-F20+F21+F22-F23-F24</f>
        <v>2027.6013229999999</v>
      </c>
      <c r="G25" s="7">
        <f t="shared" si="17"/>
        <v>2148.2036050000002</v>
      </c>
      <c r="H25" s="7">
        <f t="shared" si="17"/>
        <v>2219.2409069999999</v>
      </c>
      <c r="I25" s="7">
        <f t="shared" si="17"/>
        <v>2731.7293234999997</v>
      </c>
      <c r="L25" s="15" t="s">
        <v>76</v>
      </c>
      <c r="M25" s="26">
        <f t="shared" ref="M25:Q25" si="18">E135</f>
        <v>4.6281188186485052</v>
      </c>
      <c r="N25" s="26">
        <f t="shared" si="18"/>
        <v>4.497718922568815</v>
      </c>
      <c r="O25" s="26">
        <f t="shared" si="18"/>
        <v>4.4455127887089825</v>
      </c>
      <c r="P25" s="26">
        <f t="shared" si="18"/>
        <v>4.4376883974790235</v>
      </c>
      <c r="Q25" s="26">
        <f t="shared" si="18"/>
        <v>4.5198259834914758</v>
      </c>
    </row>
    <row r="26" spans="1:17" x14ac:dyDescent="0.35">
      <c r="A26" s="4" t="s">
        <v>53</v>
      </c>
      <c r="B26" s="5" t="s">
        <v>54</v>
      </c>
      <c r="C26" s="6" t="s">
        <v>55</v>
      </c>
      <c r="D26" s="4" t="s">
        <v>8</v>
      </c>
      <c r="E26" s="7">
        <v>3235.3990000000003</v>
      </c>
      <c r="F26" s="7">
        <v>3361.88</v>
      </c>
      <c r="G26" s="7">
        <v>3485.2559999999999</v>
      </c>
      <c r="H26" s="7">
        <v>3618.6659999999997</v>
      </c>
      <c r="I26" s="7">
        <v>3757.3779999999997</v>
      </c>
      <c r="L26" s="15" t="s">
        <v>77</v>
      </c>
      <c r="M26" s="26">
        <f t="shared" ref="M26:Q26" si="19">E136</f>
        <v>3.6730136309714196</v>
      </c>
      <c r="N26" s="26">
        <f t="shared" si="19"/>
        <v>3.5661231456630316</v>
      </c>
      <c r="O26" s="26">
        <f t="shared" si="19"/>
        <v>3.4817980798434816</v>
      </c>
      <c r="P26" s="26">
        <f t="shared" si="19"/>
        <v>3.4178038224621474</v>
      </c>
      <c r="Q26" s="26">
        <f t="shared" si="19"/>
        <v>3.3322682757505424</v>
      </c>
    </row>
    <row r="27" spans="1:17" x14ac:dyDescent="0.35">
      <c r="A27" s="4" t="s">
        <v>56</v>
      </c>
      <c r="B27" s="5" t="s">
        <v>57</v>
      </c>
      <c r="C27" s="6" t="s">
        <v>55</v>
      </c>
      <c r="D27" s="4" t="s">
        <v>8</v>
      </c>
      <c r="E27" s="7">
        <v>386.88200000000001</v>
      </c>
      <c r="F27" s="7">
        <v>348.86400000000003</v>
      </c>
      <c r="G27" s="7">
        <v>299.52</v>
      </c>
      <c r="H27" s="7">
        <v>251.07900000000001</v>
      </c>
      <c r="I27" s="7">
        <v>204.55699999999996</v>
      </c>
      <c r="L27" s="28" t="s">
        <v>79</v>
      </c>
      <c r="M27" s="28"/>
      <c r="N27" s="28"/>
      <c r="O27" s="28"/>
      <c r="P27" s="28"/>
      <c r="Q27" s="28"/>
    </row>
    <row r="28" spans="1:17" x14ac:dyDescent="0.35">
      <c r="A28" s="4" t="s">
        <v>58</v>
      </c>
      <c r="B28" s="5" t="s">
        <v>59</v>
      </c>
      <c r="C28" s="6" t="s">
        <v>60</v>
      </c>
      <c r="D28" s="4" t="s">
        <v>11</v>
      </c>
      <c r="E28" s="14">
        <v>0.86799999999999999</v>
      </c>
      <c r="F28" s="14">
        <v>0.86399999999999999</v>
      </c>
      <c r="G28" s="14">
        <v>0.86899999999999999</v>
      </c>
      <c r="H28" s="14">
        <v>0.872</v>
      </c>
      <c r="I28" s="14">
        <v>0.872</v>
      </c>
      <c r="L28" s="15" t="s">
        <v>62</v>
      </c>
      <c r="M28" s="22">
        <f>E167</f>
        <v>0.15019638827427725</v>
      </c>
      <c r="N28" s="22">
        <f t="shared" ref="N28:Q28" si="20">F167</f>
        <v>0.15207551082735976</v>
      </c>
      <c r="O28" s="22">
        <f t="shared" si="20"/>
        <v>0.15255998228472553</v>
      </c>
      <c r="P28" s="22">
        <f t="shared" si="20"/>
        <v>0.15208605112978205</v>
      </c>
      <c r="Q28" s="22">
        <f t="shared" si="20"/>
        <v>0.15339450317663633</v>
      </c>
    </row>
    <row r="29" spans="1:17" x14ac:dyDescent="0.35">
      <c r="L29" s="15" t="s">
        <v>63</v>
      </c>
      <c r="M29" s="22">
        <f t="shared" ref="M29:Q29" si="21">E168</f>
        <v>0.16683912122610009</v>
      </c>
      <c r="N29" s="22">
        <f t="shared" si="21"/>
        <v>0.1715172438817566</v>
      </c>
      <c r="O29" s="22">
        <f t="shared" si="21"/>
        <v>0.17505286417822566</v>
      </c>
      <c r="P29" s="22">
        <f t="shared" si="21"/>
        <v>0.17363973240815794</v>
      </c>
      <c r="Q29" s="22">
        <f t="shared" si="21"/>
        <v>0.17137977175135222</v>
      </c>
    </row>
    <row r="30" spans="1:17" x14ac:dyDescent="0.35">
      <c r="B30" s="10" t="s">
        <v>61</v>
      </c>
      <c r="L30" s="15" t="s">
        <v>76</v>
      </c>
      <c r="M30" s="27">
        <f t="shared" ref="M30:Q30" si="22">E169</f>
        <v>4.4062060945005417</v>
      </c>
      <c r="N30" s="27">
        <f t="shared" si="22"/>
        <v>4.2844342124686383</v>
      </c>
      <c r="O30" s="27">
        <f t="shared" si="22"/>
        <v>4.2359806940702311</v>
      </c>
      <c r="P30" s="27">
        <f t="shared" si="22"/>
        <v>4.2290274654273894</v>
      </c>
      <c r="Q30" s="27">
        <f t="shared" si="22"/>
        <v>4.3068745775263855</v>
      </c>
    </row>
    <row r="31" spans="1:17" x14ac:dyDescent="0.35">
      <c r="B31" s="2" t="s">
        <v>62</v>
      </c>
      <c r="C31" s="4" t="str">
        <f>A18&amp;" / {"&amp;A10&amp;" + ("&amp;A26&amp;" +"&amp;A27&amp;") x (1 -"&amp;A11&amp;") x"&amp;A28&amp;"}"</f>
        <v>[m] / {[e] + ([u] +[v]) x (1 -[f]) x[w]}</v>
      </c>
      <c r="E31" s="13">
        <f>E18/(E10+(E26+E27)*(1-E11)*E28)</f>
        <v>0.12399251871670418</v>
      </c>
      <c r="F31" s="13">
        <f>F18/(F10+(F26+F27)*(1-F11)*F28)</f>
        <v>0.12557872855955654</v>
      </c>
      <c r="G31" s="13">
        <f>G18/(G10+(G26+G27)*(1-G11)*G28)</f>
        <v>0.12595513913976825</v>
      </c>
      <c r="H31" s="13">
        <f>H18/(H10+(H26+H27)*(1-H11)*H28)</f>
        <v>0.12545871189600291</v>
      </c>
      <c r="I31" s="13">
        <f>I18/(I10+(I26+I27)*(1-I11)*I28)</f>
        <v>0.12591410079708029</v>
      </c>
      <c r="L31" s="15" t="s">
        <v>77</v>
      </c>
      <c r="M31" s="27">
        <f t="shared" ref="M31:Q31" si="23">E170</f>
        <v>3.9085739815372595</v>
      </c>
      <c r="N31" s="27">
        <f t="shared" si="23"/>
        <v>3.7941223492567318</v>
      </c>
      <c r="O31" s="27">
        <f t="shared" si="23"/>
        <v>3.7043389862315181</v>
      </c>
      <c r="P31" s="27">
        <f t="shared" si="23"/>
        <v>3.6367412129141998</v>
      </c>
      <c r="Q31" s="27">
        <f t="shared" si="23"/>
        <v>3.5473343401183275</v>
      </c>
    </row>
    <row r="32" spans="1:17" x14ac:dyDescent="0.35">
      <c r="B32" s="2" t="s">
        <v>63</v>
      </c>
      <c r="C32" s="4" t="str">
        <f>A25&amp;" / ("&amp;A10&amp;" +"&amp;A26&amp;" x"&amp;A28&amp;")"</f>
        <v>[t] / ([e] +[u] x[w])</v>
      </c>
      <c r="E32" s="13">
        <f>E25/(E10+E27*E28)</f>
        <v>0.13479530931231662</v>
      </c>
      <c r="F32" s="13">
        <f>F25/(F10+F27*F28)</f>
        <v>0.13878280614907709</v>
      </c>
      <c r="G32" s="13">
        <f>G25/(G10+G27*G28)</f>
        <v>0.14176068840669706</v>
      </c>
      <c r="H32" s="13">
        <f>H25/(H10+H27*H28)</f>
        <v>0.14041233231365743</v>
      </c>
      <c r="I32" s="13">
        <f>I25/(I10+I27*I28)</f>
        <v>0.13827488056434312</v>
      </c>
    </row>
    <row r="33" spans="1:9" x14ac:dyDescent="0.35">
      <c r="B33" s="2" t="s">
        <v>76</v>
      </c>
      <c r="C33" s="4" t="str">
        <f>A10&amp;" / "&amp;A17&amp;""</f>
        <v>[e] / [l]</v>
      </c>
      <c r="E33" s="17">
        <f>E10/E17</f>
        <v>5.1994580306212494</v>
      </c>
      <c r="F33" s="17">
        <f t="shared" ref="F33:I33" si="24">F10/F17</f>
        <v>5.0457575636771175</v>
      </c>
      <c r="G33" s="17">
        <f t="shared" si="24"/>
        <v>4.9833301249208031</v>
      </c>
      <c r="H33" s="17">
        <f t="shared" si="24"/>
        <v>4.9730428170254379</v>
      </c>
      <c r="I33" s="17">
        <f t="shared" si="24"/>
        <v>5.0663821358508763</v>
      </c>
    </row>
    <row r="34" spans="1:9" x14ac:dyDescent="0.35">
      <c r="A34" s="12" t="s">
        <v>0</v>
      </c>
      <c r="B34" s="2" t="s">
        <v>77</v>
      </c>
      <c r="C34" s="4" t="str">
        <f>A18&amp;" / "&amp;A13&amp;""</f>
        <v>[m] / [h]</v>
      </c>
      <c r="E34" s="17">
        <f>E18/E13</f>
        <v>3.1590637751914099</v>
      </c>
      <c r="F34" s="17">
        <f t="shared" ref="F34:I34" si="25">F18/F13</f>
        <v>3.0686703378222302</v>
      </c>
      <c r="G34" s="17">
        <f t="shared" si="25"/>
        <v>2.9962542840877657</v>
      </c>
      <c r="H34" s="17">
        <f t="shared" si="25"/>
        <v>2.9401222432940344</v>
      </c>
      <c r="I34" s="17">
        <f t="shared" si="25"/>
        <v>2.8630332262208289</v>
      </c>
    </row>
    <row r="35" spans="1:9" x14ac:dyDescent="0.35">
      <c r="C35" s="4"/>
      <c r="E35" s="13"/>
      <c r="F35" s="13"/>
      <c r="G35" s="13"/>
      <c r="H35" s="13"/>
      <c r="I35" s="13"/>
    </row>
    <row r="36" spans="1:9" x14ac:dyDescent="0.35">
      <c r="C36" s="4"/>
      <c r="E36" s="13"/>
      <c r="F36" s="13"/>
      <c r="G36" s="13"/>
      <c r="H36" s="13"/>
      <c r="I36" s="13"/>
    </row>
    <row r="37" spans="1:9" x14ac:dyDescent="0.35">
      <c r="C37" s="4"/>
      <c r="E37" s="13"/>
      <c r="F37" s="13"/>
      <c r="G37" s="13"/>
      <c r="H37" s="13"/>
      <c r="I37" s="13"/>
    </row>
    <row r="38" spans="1:9" x14ac:dyDescent="0.35">
      <c r="A38" s="30">
        <v>47</v>
      </c>
      <c r="B38" s="30"/>
      <c r="C38" s="30"/>
      <c r="D38" s="30"/>
      <c r="E38" s="30"/>
      <c r="F38" s="30"/>
      <c r="G38" s="30"/>
      <c r="H38" s="30"/>
      <c r="I38" s="30"/>
    </row>
    <row r="39" spans="1:9" x14ac:dyDescent="0.35">
      <c r="A39" s="3" t="s">
        <v>1</v>
      </c>
      <c r="B39" s="3" t="s">
        <v>2</v>
      </c>
      <c r="C39" s="3" t="s">
        <v>3</v>
      </c>
      <c r="D39" s="3" t="s">
        <v>4</v>
      </c>
      <c r="E39" s="3">
        <v>2027</v>
      </c>
      <c r="F39" s="3">
        <v>2028</v>
      </c>
      <c r="G39" s="3">
        <v>2029</v>
      </c>
      <c r="H39" s="3">
        <v>2030</v>
      </c>
      <c r="I39" s="3">
        <v>2031</v>
      </c>
    </row>
    <row r="40" spans="1:9" x14ac:dyDescent="0.35">
      <c r="A40" s="4" t="s">
        <v>5</v>
      </c>
      <c r="B40" s="5" t="s">
        <v>6</v>
      </c>
      <c r="C40" s="6" t="s">
        <v>7</v>
      </c>
      <c r="D40" s="4" t="s">
        <v>8</v>
      </c>
      <c r="E40" s="7">
        <v>24929.8</v>
      </c>
      <c r="F40" s="7">
        <v>26015.4</v>
      </c>
      <c r="G40" s="7">
        <v>27079</v>
      </c>
      <c r="H40" s="7">
        <v>28338.6</v>
      </c>
      <c r="I40" s="7">
        <v>35595.300000000003</v>
      </c>
    </row>
    <row r="41" spans="1:9" x14ac:dyDescent="0.35">
      <c r="A41" s="4" t="s">
        <v>9</v>
      </c>
      <c r="B41" s="5" t="s">
        <v>10</v>
      </c>
      <c r="C41" s="6" t="s">
        <v>7</v>
      </c>
      <c r="D41" s="4" t="s">
        <v>11</v>
      </c>
      <c r="E41" s="8">
        <v>9.11E-2</v>
      </c>
      <c r="F41" s="8">
        <v>9.11E-2</v>
      </c>
      <c r="G41" s="8">
        <v>9.11E-2</v>
      </c>
      <c r="H41" s="8">
        <v>9.11E-2</v>
      </c>
      <c r="I41" s="8">
        <v>9.11E-2</v>
      </c>
    </row>
    <row r="42" spans="1:9" x14ac:dyDescent="0.35">
      <c r="A42" s="4" t="s">
        <v>12</v>
      </c>
      <c r="B42" s="5" t="s">
        <v>13</v>
      </c>
      <c r="C42" s="6" t="s">
        <v>14</v>
      </c>
      <c r="D42" s="4" t="s">
        <v>11</v>
      </c>
      <c r="E42" s="9">
        <f>A38%</f>
        <v>0.47</v>
      </c>
      <c r="F42" s="9">
        <f>E42</f>
        <v>0.47</v>
      </c>
      <c r="G42" s="9">
        <f t="shared" ref="G42:I42" si="26">F42</f>
        <v>0.47</v>
      </c>
      <c r="H42" s="9">
        <f t="shared" si="26"/>
        <v>0.47</v>
      </c>
      <c r="I42" s="9">
        <f t="shared" si="26"/>
        <v>0.47</v>
      </c>
    </row>
    <row r="43" spans="1:9" x14ac:dyDescent="0.35">
      <c r="A43" s="4" t="s">
        <v>15</v>
      </c>
      <c r="B43" s="5" t="s">
        <v>16</v>
      </c>
      <c r="C43" s="6" t="s">
        <v>7</v>
      </c>
      <c r="D43" s="4" t="s">
        <v>11</v>
      </c>
      <c r="E43" s="8">
        <v>4.5999999999999999E-2</v>
      </c>
      <c r="F43" s="8">
        <v>4.7800000000000002E-2</v>
      </c>
      <c r="G43" s="8">
        <v>4.9000000000000002E-2</v>
      </c>
      <c r="H43" s="8">
        <v>4.9599999999999998E-2</v>
      </c>
      <c r="I43" s="8">
        <v>4.9799999999999997E-2</v>
      </c>
    </row>
    <row r="44" spans="1:9" x14ac:dyDescent="0.35">
      <c r="A44" s="4" t="s">
        <v>17</v>
      </c>
      <c r="B44" s="5" t="s">
        <v>18</v>
      </c>
      <c r="C44" s="4" t="str">
        <f>A40&amp;"*(1-"&amp;A42&amp;")"</f>
        <v>[a]*(1-[c])</v>
      </c>
      <c r="D44" s="4" t="s">
        <v>8</v>
      </c>
      <c r="E44" s="7">
        <f>E40*(1-E42)</f>
        <v>13212.794</v>
      </c>
      <c r="F44" s="7">
        <f>F40*(1-F42)</f>
        <v>13788.162000000002</v>
      </c>
      <c r="G44" s="7">
        <f>G40*(1-G42)</f>
        <v>14351.87</v>
      </c>
      <c r="H44" s="7">
        <f>H40*(1-H42)</f>
        <v>15019.458000000001</v>
      </c>
      <c r="I44" s="7">
        <f>I40*(1-I42)</f>
        <v>18865.509000000002</v>
      </c>
    </row>
    <row r="45" spans="1:9" x14ac:dyDescent="0.35">
      <c r="A45" s="4" t="s">
        <v>19</v>
      </c>
      <c r="B45" s="5" t="s">
        <v>20</v>
      </c>
      <c r="C45" s="4" t="s">
        <v>21</v>
      </c>
      <c r="D45" s="4" t="s">
        <v>11</v>
      </c>
      <c r="E45" s="9">
        <v>0.25</v>
      </c>
      <c r="F45" s="9">
        <v>0.25</v>
      </c>
      <c r="G45" s="9">
        <v>0.25</v>
      </c>
      <c r="H45" s="9">
        <v>0.25</v>
      </c>
      <c r="I45" s="9">
        <v>0.25</v>
      </c>
    </row>
    <row r="46" spans="1:9" x14ac:dyDescent="0.35">
      <c r="A46" s="4" t="s">
        <v>22</v>
      </c>
      <c r="B46" s="5" t="s">
        <v>23</v>
      </c>
      <c r="C46" s="6" t="str">
        <f>A40&amp;"*"&amp;A41&amp;"*"&amp;A42</f>
        <v>[a]*[b]*[c]</v>
      </c>
      <c r="D46" s="4" t="s">
        <v>8</v>
      </c>
      <c r="E46" s="7">
        <f>E40*E41*E42</f>
        <v>1067.4192466</v>
      </c>
      <c r="F46" s="7">
        <f>F40*F41*F42</f>
        <v>1113.9013818000001</v>
      </c>
      <c r="G46" s="7">
        <f>G40*G41*G42</f>
        <v>1159.4415429999999</v>
      </c>
      <c r="H46" s="7">
        <f>H40*H41*H42</f>
        <v>1213.3738361999999</v>
      </c>
      <c r="I46" s="7">
        <f>I40*I41*I42</f>
        <v>1524.0839601</v>
      </c>
    </row>
    <row r="47" spans="1:9" x14ac:dyDescent="0.35">
      <c r="A47" s="4" t="s">
        <v>24</v>
      </c>
      <c r="B47" s="5" t="s">
        <v>25</v>
      </c>
      <c r="C47" s="6" t="str">
        <f>A40&amp;"*(1-"&amp;A41&amp;")*"&amp;A43</f>
        <v>[a]*(1-[b])*[d]</v>
      </c>
      <c r="D47" s="4" t="s">
        <v>8</v>
      </c>
      <c r="E47" s="7">
        <f>E40*(1-E42)*E43</f>
        <v>607.78852399999994</v>
      </c>
      <c r="F47" s="7">
        <f>F40*(1-F42)*F43</f>
        <v>659.07414360000018</v>
      </c>
      <c r="G47" s="7">
        <f>G40*(1-G42)*G43</f>
        <v>703.2416300000001</v>
      </c>
      <c r="H47" s="7">
        <f>H40*(1-H42)*H43</f>
        <v>744.96511680000003</v>
      </c>
      <c r="I47" s="7">
        <f>I40*(1-I42)*I43</f>
        <v>939.50234820000003</v>
      </c>
    </row>
    <row r="48" spans="1:9" x14ac:dyDescent="0.35">
      <c r="A48" s="4" t="s">
        <v>26</v>
      </c>
      <c r="B48" s="5" t="s">
        <v>27</v>
      </c>
      <c r="C48" s="6" t="s">
        <v>28</v>
      </c>
      <c r="D48" s="4" t="s">
        <v>8</v>
      </c>
      <c r="E48" s="7">
        <v>13.859527643192337</v>
      </c>
      <c r="F48" s="7">
        <v>52.996475887894583</v>
      </c>
      <c r="G48" s="7">
        <v>72.271443094031412</v>
      </c>
      <c r="H48" s="7">
        <v>88.12562115453153</v>
      </c>
      <c r="I48" s="7">
        <v>97.895898663212677</v>
      </c>
    </row>
    <row r="49" spans="1:9" x14ac:dyDescent="0.35">
      <c r="A49" s="4" t="s">
        <v>29</v>
      </c>
      <c r="B49" s="5" t="s">
        <v>30</v>
      </c>
      <c r="C49" s="6" t="s">
        <v>31</v>
      </c>
      <c r="D49" s="4" t="s">
        <v>8</v>
      </c>
      <c r="E49" s="7">
        <v>975.2</v>
      </c>
      <c r="F49" s="7">
        <v>1033.4000000000001</v>
      </c>
      <c r="G49" s="7">
        <v>1076.5</v>
      </c>
      <c r="H49" s="7">
        <v>1111.2</v>
      </c>
      <c r="I49" s="7">
        <v>1332.1</v>
      </c>
    </row>
    <row r="50" spans="1:9" x14ac:dyDescent="0.35">
      <c r="A50" s="4" t="s">
        <v>32</v>
      </c>
      <c r="B50" s="5" t="s">
        <v>33</v>
      </c>
      <c r="C50" s="6" t="s">
        <v>34</v>
      </c>
      <c r="D50" s="4" t="s">
        <v>8</v>
      </c>
      <c r="E50" s="7">
        <v>4.7</v>
      </c>
      <c r="F50" s="7">
        <v>1.1000000000000001</v>
      </c>
      <c r="G50" s="7">
        <v>0</v>
      </c>
      <c r="H50" s="7">
        <v>0</v>
      </c>
      <c r="I50" s="7">
        <v>0</v>
      </c>
    </row>
    <row r="51" spans="1:9" x14ac:dyDescent="0.35">
      <c r="A51" s="4" t="s">
        <v>35</v>
      </c>
      <c r="B51" s="5" t="s">
        <v>36</v>
      </c>
      <c r="C51" s="6" t="str">
        <f>A46&amp;"+"&amp;A47&amp;"+"&amp;A48&amp;"+"&amp;A49&amp;"-"&amp;A50</f>
        <v>[g]+[h]+[i]+[j]-[k]</v>
      </c>
      <c r="D51" s="4" t="s">
        <v>8</v>
      </c>
      <c r="E51" s="7">
        <f>E46+E47+E48+E49-E50</f>
        <v>2659.5672982431925</v>
      </c>
      <c r="F51" s="7">
        <f t="shared" ref="F51:I51" si="27">F46+F47+F48+F49-F50</f>
        <v>2858.2720012878949</v>
      </c>
      <c r="G51" s="7">
        <f t="shared" si="27"/>
        <v>3011.4546160940313</v>
      </c>
      <c r="H51" s="7">
        <f t="shared" si="27"/>
        <v>3157.6645741545317</v>
      </c>
      <c r="I51" s="7">
        <f t="shared" si="27"/>
        <v>3893.5822069632127</v>
      </c>
    </row>
    <row r="52" spans="1:9" x14ac:dyDescent="0.35">
      <c r="A52" s="4" t="s">
        <v>37</v>
      </c>
      <c r="B52" s="5" t="s">
        <v>38</v>
      </c>
      <c r="C52" s="6" t="str">
        <f>A51&amp;"-"&amp;A47&amp;"-"&amp;A48</f>
        <v>[l]-[h]-[i]</v>
      </c>
      <c r="D52" s="4" t="s">
        <v>8</v>
      </c>
      <c r="E52" s="7">
        <f>E51-E47-E48</f>
        <v>2037.9192466</v>
      </c>
      <c r="F52" s="7">
        <f t="shared" ref="F52:I52" si="28">F51-F47-F48</f>
        <v>2146.2013818</v>
      </c>
      <c r="G52" s="7">
        <f t="shared" si="28"/>
        <v>2235.9415429999999</v>
      </c>
      <c r="H52" s="7">
        <f t="shared" si="28"/>
        <v>2324.5738362000002</v>
      </c>
      <c r="I52" s="7">
        <f t="shared" si="28"/>
        <v>2856.1839600999997</v>
      </c>
    </row>
    <row r="53" spans="1:9" x14ac:dyDescent="0.35">
      <c r="A53" s="4" t="s">
        <v>39</v>
      </c>
      <c r="B53" s="5" t="s">
        <v>40</v>
      </c>
      <c r="C53" s="6" t="s">
        <v>28</v>
      </c>
      <c r="D53" s="4" t="s">
        <v>8</v>
      </c>
      <c r="E53" s="7">
        <v>270.8</v>
      </c>
      <c r="F53" s="7">
        <v>270.39999999999998</v>
      </c>
      <c r="G53" s="7">
        <v>278.8</v>
      </c>
      <c r="H53" s="7">
        <v>284.60000000000002</v>
      </c>
      <c r="I53" s="7">
        <v>296.7</v>
      </c>
    </row>
    <row r="54" spans="1:9" x14ac:dyDescent="0.35">
      <c r="A54" s="4" t="s">
        <v>41</v>
      </c>
      <c r="B54" s="5" t="s">
        <v>42</v>
      </c>
      <c r="C54" s="6" t="s">
        <v>28</v>
      </c>
      <c r="D54" s="4" t="s">
        <v>8</v>
      </c>
      <c r="E54" s="7">
        <v>261</v>
      </c>
      <c r="F54" s="7">
        <v>269.8</v>
      </c>
      <c r="G54" s="7">
        <v>285.39999999999998</v>
      </c>
      <c r="H54" s="7">
        <v>294.60000000000002</v>
      </c>
      <c r="I54" s="7">
        <v>305.3</v>
      </c>
    </row>
    <row r="55" spans="1:9" x14ac:dyDescent="0.35">
      <c r="A55" s="4" t="s">
        <v>43</v>
      </c>
      <c r="B55" s="5" t="s">
        <v>44</v>
      </c>
      <c r="C55" s="6" t="s">
        <v>28</v>
      </c>
      <c r="D55" s="4" t="s">
        <v>8</v>
      </c>
      <c r="E55" s="7">
        <v>30.4</v>
      </c>
      <c r="F55" s="7">
        <v>47.2</v>
      </c>
      <c r="G55" s="7">
        <v>58.9</v>
      </c>
      <c r="H55" s="7">
        <v>72.900000000000006</v>
      </c>
      <c r="I55" s="7">
        <v>79.099999999999994</v>
      </c>
    </row>
    <row r="56" spans="1:9" x14ac:dyDescent="0.35">
      <c r="A56" s="4" t="s">
        <v>45</v>
      </c>
      <c r="B56" s="5" t="s">
        <v>46</v>
      </c>
      <c r="C56" s="6" t="s">
        <v>28</v>
      </c>
      <c r="D56" s="4" t="s">
        <v>8</v>
      </c>
      <c r="E56" s="7">
        <v>498.2</v>
      </c>
      <c r="F56" s="7">
        <v>420.1</v>
      </c>
      <c r="G56" s="7">
        <v>347.2</v>
      </c>
      <c r="H56" s="7">
        <v>326.7</v>
      </c>
      <c r="I56" s="7">
        <v>342</v>
      </c>
    </row>
    <row r="57" spans="1:9" x14ac:dyDescent="0.35">
      <c r="A57" s="4" t="s">
        <v>47</v>
      </c>
      <c r="B57" s="5" t="s">
        <v>48</v>
      </c>
      <c r="C57" s="6" t="s">
        <v>28</v>
      </c>
      <c r="D57" s="4" t="s">
        <v>8</v>
      </c>
      <c r="E57" s="7">
        <v>637.4</v>
      </c>
      <c r="F57" s="7">
        <v>539.1</v>
      </c>
      <c r="G57" s="7">
        <v>437.9</v>
      </c>
      <c r="H57" s="7">
        <v>443.3</v>
      </c>
      <c r="I57" s="7">
        <v>472.1</v>
      </c>
    </row>
    <row r="58" spans="1:9" x14ac:dyDescent="0.35">
      <c r="A58" s="4" t="s">
        <v>49</v>
      </c>
      <c r="B58" s="5" t="s">
        <v>50</v>
      </c>
      <c r="C58" s="6" t="s">
        <v>28</v>
      </c>
      <c r="D58" s="4" t="s">
        <v>8</v>
      </c>
      <c r="E58" s="7">
        <v>0</v>
      </c>
      <c r="F58" s="7">
        <v>0</v>
      </c>
      <c r="G58" s="7">
        <v>0</v>
      </c>
      <c r="H58" s="7">
        <v>0</v>
      </c>
      <c r="I58" s="7">
        <v>0</v>
      </c>
    </row>
    <row r="59" spans="1:9" x14ac:dyDescent="0.35">
      <c r="A59" s="4" t="s">
        <v>51</v>
      </c>
      <c r="B59" s="5" t="s">
        <v>52</v>
      </c>
      <c r="C59" s="6" t="str">
        <f>A51&amp;"-"&amp;A47&amp;"-"&amp;A48&amp;"+"&amp;A53&amp;"-"&amp;A54&amp;"+"&amp;A55&amp;"+"&amp;A56&amp;"-"&amp;A57&amp;"-"&amp;A58</f>
        <v>[l]-[h]-[i]+[n]-[o]+[p]+[q]-[r]-[s]</v>
      </c>
      <c r="D59" s="4" t="s">
        <v>8</v>
      </c>
      <c r="E59" s="7">
        <f>E51-E47-E48+E53-E54+E55+E56-E57-E58</f>
        <v>1938.9192466</v>
      </c>
      <c r="F59" s="7">
        <f t="shared" ref="F59:I59" si="29">F51-F47-F48+F53-F54+F55+F56-F57-F58</f>
        <v>2075.0013817999998</v>
      </c>
      <c r="G59" s="7">
        <f t="shared" si="29"/>
        <v>2197.5415429999998</v>
      </c>
      <c r="H59" s="7">
        <f t="shared" si="29"/>
        <v>2270.8738361999999</v>
      </c>
      <c r="I59" s="7">
        <f t="shared" si="29"/>
        <v>2796.5839600999993</v>
      </c>
    </row>
    <row r="60" spans="1:9" x14ac:dyDescent="0.35">
      <c r="A60" s="4" t="s">
        <v>53</v>
      </c>
      <c r="B60" s="5" t="s">
        <v>54</v>
      </c>
      <c r="C60" s="6" t="s">
        <v>55</v>
      </c>
      <c r="D60" s="4" t="s">
        <v>8</v>
      </c>
      <c r="E60" s="7">
        <v>3235.3990000000003</v>
      </c>
      <c r="F60" s="7">
        <v>3361.88</v>
      </c>
      <c r="G60" s="7">
        <v>3485.2559999999999</v>
      </c>
      <c r="H60" s="7">
        <v>3618.6659999999997</v>
      </c>
      <c r="I60" s="7">
        <v>3757.3779999999997</v>
      </c>
    </row>
    <row r="61" spans="1:9" x14ac:dyDescent="0.35">
      <c r="A61" s="4" t="s">
        <v>56</v>
      </c>
      <c r="B61" s="5" t="s">
        <v>57</v>
      </c>
      <c r="C61" s="6" t="s">
        <v>55</v>
      </c>
      <c r="D61" s="4" t="s">
        <v>8</v>
      </c>
      <c r="E61" s="7">
        <v>386.88200000000001</v>
      </c>
      <c r="F61" s="7">
        <v>348.86400000000003</v>
      </c>
      <c r="G61" s="7">
        <v>299.52</v>
      </c>
      <c r="H61" s="7">
        <v>251.07900000000001</v>
      </c>
      <c r="I61" s="7">
        <v>204.55699999999996</v>
      </c>
    </row>
    <row r="62" spans="1:9" x14ac:dyDescent="0.35">
      <c r="A62" s="4" t="s">
        <v>58</v>
      </c>
      <c r="B62" s="5" t="s">
        <v>59</v>
      </c>
      <c r="C62" s="6" t="s">
        <v>60</v>
      </c>
      <c r="D62" s="4" t="s">
        <v>11</v>
      </c>
      <c r="E62" s="14">
        <v>0.86799999999999999</v>
      </c>
      <c r="F62" s="14">
        <v>0.86399999999999999</v>
      </c>
      <c r="G62" s="14">
        <v>0.86899999999999999</v>
      </c>
      <c r="H62" s="14">
        <v>0.872</v>
      </c>
      <c r="I62" s="14">
        <v>0.872</v>
      </c>
    </row>
    <row r="64" spans="1:9" x14ac:dyDescent="0.35">
      <c r="B64" s="10" t="s">
        <v>61</v>
      </c>
    </row>
    <row r="65" spans="1:9" x14ac:dyDescent="0.35">
      <c r="B65" s="2" t="s">
        <v>62</v>
      </c>
      <c r="C65" s="4" t="str">
        <f>A52&amp;" / {"&amp;A44&amp;" + ("&amp;A60&amp;" +"&amp;A61&amp;") x (1 -"&amp;A45&amp;") x"&amp;A62&amp;"}"</f>
        <v>[m] / {[e] + ([u] +[v]) x (1 -[f]) x[w]}</v>
      </c>
      <c r="E65" s="13">
        <f>E52/(E44+(E60+E61)*(1-E45)*E62)</f>
        <v>0.13087999964746544</v>
      </c>
      <c r="F65" s="13">
        <f>F52/(F44+(F60+F61)*(1-F45)*F62)</f>
        <v>0.13254109481242299</v>
      </c>
      <c r="G65" s="13">
        <f>G52/(G44+(G60+G61)*(1-G45)*G62)</f>
        <v>0.13294458760311592</v>
      </c>
      <c r="H65" s="13">
        <f>H52/(H44+(H60+H61)*(1-H45)*H62)</f>
        <v>0.13245230263031096</v>
      </c>
      <c r="I65" s="13">
        <f>I52/(I44+(I60+I61)*(1-I45)*I62)</f>
        <v>0.13311438118213587</v>
      </c>
    </row>
    <row r="66" spans="1:9" x14ac:dyDescent="0.35">
      <c r="B66" s="2" t="s">
        <v>63</v>
      </c>
      <c r="C66" s="4" t="str">
        <f>A59&amp;" / ("&amp;A44&amp;" +"&amp;A60&amp;" x"&amp;A62&amp;")"</f>
        <v>[t] / ([e] +[u] x[w])</v>
      </c>
      <c r="E66" s="13">
        <f>E59/(E44+E61*E62)</f>
        <v>0.14310837742725688</v>
      </c>
      <c r="F66" s="13">
        <f>F59/(F44+F61*F62)</f>
        <v>0.14727204847504777</v>
      </c>
      <c r="G66" s="13">
        <f>G59/(G44+G61*G62)</f>
        <v>0.15039135992122193</v>
      </c>
      <c r="H66" s="13">
        <f>H59/(H44+H61*H62)</f>
        <v>0.14902312591306935</v>
      </c>
      <c r="I66" s="13">
        <f>I59/(I44+I61*I62)</f>
        <v>0.14684946360820639</v>
      </c>
    </row>
    <row r="67" spans="1:9" x14ac:dyDescent="0.35">
      <c r="B67" s="2" t="s">
        <v>76</v>
      </c>
      <c r="C67" s="4" t="str">
        <f>A44&amp;" / "&amp;A51&amp;""</f>
        <v>[e] / [l]</v>
      </c>
      <c r="E67" s="17">
        <f>E44/E51</f>
        <v>4.9680239370997912</v>
      </c>
      <c r="F67" s="17">
        <f t="shared" ref="F67:I67" si="30">F44/F51</f>
        <v>4.823950272677779</v>
      </c>
      <c r="G67" s="17">
        <f t="shared" si="30"/>
        <v>4.7657600162060252</v>
      </c>
      <c r="H67" s="17">
        <f t="shared" si="30"/>
        <v>4.7565083774046766</v>
      </c>
      <c r="I67" s="17">
        <f t="shared" si="30"/>
        <v>4.8452833399179971</v>
      </c>
    </row>
    <row r="68" spans="1:9" x14ac:dyDescent="0.35">
      <c r="B68" s="2" t="s">
        <v>77</v>
      </c>
      <c r="C68" s="4" t="str">
        <f>A52&amp;" / "&amp;A47&amp;""</f>
        <v>[m] / [h]</v>
      </c>
      <c r="E68" s="17">
        <f>E52/E47</f>
        <v>3.3530071169951872</v>
      </c>
      <c r="F68" s="17">
        <f t="shared" ref="F68:I68" si="31">F52/F47</f>
        <v>3.256388378516871</v>
      </c>
      <c r="G68" s="17">
        <f t="shared" si="31"/>
        <v>3.1794783579578465</v>
      </c>
      <c r="H68" s="17">
        <f t="shared" si="31"/>
        <v>3.1203794429801146</v>
      </c>
      <c r="I68" s="17">
        <f t="shared" si="31"/>
        <v>3.0401030562320415</v>
      </c>
    </row>
    <row r="69" spans="1:9" ht="32.25" customHeight="1" x14ac:dyDescent="0.35">
      <c r="C69" s="4"/>
      <c r="E69" s="13"/>
      <c r="F69" s="13"/>
      <c r="G69" s="13"/>
      <c r="H69" s="13"/>
      <c r="I69" s="13"/>
    </row>
    <row r="70" spans="1:9" ht="16.5" customHeight="1" x14ac:dyDescent="0.35"/>
    <row r="71" spans="1:9" ht="15.75" customHeight="1" x14ac:dyDescent="0.35"/>
    <row r="72" spans="1:9" x14ac:dyDescent="0.35">
      <c r="A72" s="30">
        <v>48.5</v>
      </c>
      <c r="B72" s="30"/>
      <c r="C72" s="30"/>
      <c r="D72" s="30"/>
      <c r="E72" s="30"/>
      <c r="F72" s="30"/>
      <c r="G72" s="30"/>
      <c r="H72" s="30"/>
      <c r="I72" s="30"/>
    </row>
    <row r="73" spans="1:9" x14ac:dyDescent="0.35">
      <c r="A73" s="3" t="s">
        <v>1</v>
      </c>
      <c r="B73" s="3" t="s">
        <v>2</v>
      </c>
      <c r="C73" s="3" t="s">
        <v>3</v>
      </c>
      <c r="D73" s="3" t="s">
        <v>4</v>
      </c>
      <c r="E73" s="3">
        <v>2027</v>
      </c>
      <c r="F73" s="3">
        <v>2028</v>
      </c>
      <c r="G73" s="3">
        <v>2029</v>
      </c>
      <c r="H73" s="3">
        <v>2030</v>
      </c>
      <c r="I73" s="3">
        <v>2031</v>
      </c>
    </row>
    <row r="74" spans="1:9" ht="34.5" customHeight="1" x14ac:dyDescent="0.35">
      <c r="A74" s="4" t="s">
        <v>5</v>
      </c>
      <c r="B74" s="5" t="s">
        <v>6</v>
      </c>
      <c r="C74" s="6" t="s">
        <v>7</v>
      </c>
      <c r="D74" s="4" t="s">
        <v>8</v>
      </c>
      <c r="E74" s="7">
        <v>24929.8</v>
      </c>
      <c r="F74" s="7">
        <v>26015.4</v>
      </c>
      <c r="G74" s="7">
        <v>27079</v>
      </c>
      <c r="H74" s="7">
        <v>28338.6</v>
      </c>
      <c r="I74" s="7">
        <v>35595.300000000003</v>
      </c>
    </row>
    <row r="75" spans="1:9" x14ac:dyDescent="0.35">
      <c r="A75" s="4" t="s">
        <v>9</v>
      </c>
      <c r="B75" s="5" t="s">
        <v>10</v>
      </c>
      <c r="C75" s="6" t="s">
        <v>7</v>
      </c>
      <c r="D75" s="4" t="s">
        <v>11</v>
      </c>
      <c r="E75" s="8">
        <v>9.11E-2</v>
      </c>
      <c r="F75" s="8">
        <v>9.11E-2</v>
      </c>
      <c r="G75" s="8">
        <v>9.11E-2</v>
      </c>
      <c r="H75" s="8">
        <v>9.11E-2</v>
      </c>
      <c r="I75" s="8">
        <v>9.11E-2</v>
      </c>
    </row>
    <row r="76" spans="1:9" x14ac:dyDescent="0.35">
      <c r="A76" s="4" t="s">
        <v>12</v>
      </c>
      <c r="B76" s="5" t="s">
        <v>13</v>
      </c>
      <c r="C76" s="6" t="s">
        <v>14</v>
      </c>
      <c r="D76" s="4" t="s">
        <v>11</v>
      </c>
      <c r="E76" s="14">
        <f>A72%</f>
        <v>0.48499999999999999</v>
      </c>
      <c r="F76" s="14">
        <f>E76</f>
        <v>0.48499999999999999</v>
      </c>
      <c r="G76" s="14">
        <f t="shared" ref="G76" si="32">F76</f>
        <v>0.48499999999999999</v>
      </c>
      <c r="H76" s="14">
        <f t="shared" ref="H76" si="33">G76</f>
        <v>0.48499999999999999</v>
      </c>
      <c r="I76" s="14">
        <f t="shared" ref="I76" si="34">H76</f>
        <v>0.48499999999999999</v>
      </c>
    </row>
    <row r="77" spans="1:9" x14ac:dyDescent="0.35">
      <c r="A77" s="4" t="s">
        <v>15</v>
      </c>
      <c r="B77" s="5" t="s">
        <v>16</v>
      </c>
      <c r="C77" s="6" t="s">
        <v>7</v>
      </c>
      <c r="D77" s="4" t="s">
        <v>11</v>
      </c>
      <c r="E77" s="8">
        <v>4.5999999999999999E-2</v>
      </c>
      <c r="F77" s="8">
        <v>4.7800000000000002E-2</v>
      </c>
      <c r="G77" s="8">
        <v>4.9000000000000002E-2</v>
      </c>
      <c r="H77" s="8">
        <v>4.9599999999999998E-2</v>
      </c>
      <c r="I77" s="8">
        <v>4.9799999999999997E-2</v>
      </c>
    </row>
    <row r="78" spans="1:9" x14ac:dyDescent="0.35">
      <c r="A78" s="4" t="s">
        <v>17</v>
      </c>
      <c r="B78" s="5" t="s">
        <v>18</v>
      </c>
      <c r="C78" s="4" t="str">
        <f>A74&amp;"*(1-"&amp;A76&amp;")"</f>
        <v>[a]*(1-[c])</v>
      </c>
      <c r="D78" s="4" t="s">
        <v>8</v>
      </c>
      <c r="E78" s="7">
        <f>E74*(1-E76)</f>
        <v>12838.847</v>
      </c>
      <c r="F78" s="7">
        <f>F74*(1-F76)</f>
        <v>13397.931</v>
      </c>
      <c r="G78" s="7">
        <f>G74*(1-G76)</f>
        <v>13945.684999999999</v>
      </c>
      <c r="H78" s="7">
        <f>H74*(1-H76)</f>
        <v>14594.378999999999</v>
      </c>
      <c r="I78" s="7">
        <f>I74*(1-I76)</f>
        <v>18331.579500000003</v>
      </c>
    </row>
    <row r="79" spans="1:9" x14ac:dyDescent="0.35">
      <c r="A79" s="4" t="s">
        <v>19</v>
      </c>
      <c r="B79" s="5" t="s">
        <v>20</v>
      </c>
      <c r="C79" s="4" t="s">
        <v>21</v>
      </c>
      <c r="D79" s="4" t="s">
        <v>11</v>
      </c>
      <c r="E79" s="9">
        <v>0.25</v>
      </c>
      <c r="F79" s="9">
        <v>0.25</v>
      </c>
      <c r="G79" s="9">
        <v>0.25</v>
      </c>
      <c r="H79" s="9">
        <v>0.25</v>
      </c>
      <c r="I79" s="9">
        <v>0.25</v>
      </c>
    </row>
    <row r="80" spans="1:9" x14ac:dyDescent="0.35">
      <c r="A80" s="4" t="s">
        <v>22</v>
      </c>
      <c r="B80" s="5" t="s">
        <v>23</v>
      </c>
      <c r="C80" s="6" t="str">
        <f>A74&amp;"*"&amp;A75&amp;"*"&amp;A76</f>
        <v>[a]*[b]*[c]</v>
      </c>
      <c r="D80" s="4" t="s">
        <v>8</v>
      </c>
      <c r="E80" s="7">
        <f>E74*E75*E76</f>
        <v>1101.4858183000001</v>
      </c>
      <c r="F80" s="7">
        <f>F74*F75*F76</f>
        <v>1149.4514259000002</v>
      </c>
      <c r="G80" s="7">
        <f>G74*G75*G76</f>
        <v>1196.4449965000001</v>
      </c>
      <c r="H80" s="7">
        <f>H74*H75*H76</f>
        <v>1252.0985330999999</v>
      </c>
      <c r="I80" s="7">
        <f>I74*I75*I76</f>
        <v>1572.72493755</v>
      </c>
    </row>
    <row r="81" spans="1:9" x14ac:dyDescent="0.35">
      <c r="A81" s="4" t="s">
        <v>24</v>
      </c>
      <c r="B81" s="5" t="s">
        <v>25</v>
      </c>
      <c r="C81" s="6" t="str">
        <f>A74&amp;"*(1-"&amp;A75&amp;")*"&amp;A77</f>
        <v>[a]*(1-[b])*[d]</v>
      </c>
      <c r="D81" s="4" t="s">
        <v>8</v>
      </c>
      <c r="E81" s="7">
        <f>E74*(1-E76)*E77</f>
        <v>590.58696199999997</v>
      </c>
      <c r="F81" s="7">
        <f>F74*(1-F76)*F77</f>
        <v>640.42110180000009</v>
      </c>
      <c r="G81" s="7">
        <f>G74*(1-G76)*G77</f>
        <v>683.33856500000002</v>
      </c>
      <c r="H81" s="7">
        <f>H74*(1-H76)*H77</f>
        <v>723.8811983999999</v>
      </c>
      <c r="I81" s="7">
        <f>I74*(1-I76)*I77</f>
        <v>912.91265910000016</v>
      </c>
    </row>
    <row r="82" spans="1:9" x14ac:dyDescent="0.35">
      <c r="A82" s="4" t="s">
        <v>26</v>
      </c>
      <c r="B82" s="5" t="s">
        <v>27</v>
      </c>
      <c r="C82" s="6" t="s">
        <v>28</v>
      </c>
      <c r="D82" s="4" t="s">
        <v>8</v>
      </c>
      <c r="E82" s="7">
        <v>13.859527643192337</v>
      </c>
      <c r="F82" s="7">
        <v>52.996475887894583</v>
      </c>
      <c r="G82" s="7">
        <v>72.271443094031412</v>
      </c>
      <c r="H82" s="7">
        <v>88.12562115453153</v>
      </c>
      <c r="I82" s="7">
        <v>97.895898663212677</v>
      </c>
    </row>
    <row r="83" spans="1:9" x14ac:dyDescent="0.35">
      <c r="A83" s="4" t="s">
        <v>29</v>
      </c>
      <c r="B83" s="5" t="s">
        <v>30</v>
      </c>
      <c r="C83" s="6" t="s">
        <v>31</v>
      </c>
      <c r="D83" s="4" t="s">
        <v>8</v>
      </c>
      <c r="E83" s="7">
        <v>975.2</v>
      </c>
      <c r="F83" s="7">
        <v>1033.4000000000001</v>
      </c>
      <c r="G83" s="7">
        <v>1076.5</v>
      </c>
      <c r="H83" s="7">
        <v>1111.2</v>
      </c>
      <c r="I83" s="7">
        <v>1332.1</v>
      </c>
    </row>
    <row r="84" spans="1:9" x14ac:dyDescent="0.35">
      <c r="A84" s="4" t="s">
        <v>32</v>
      </c>
      <c r="B84" s="5" t="s">
        <v>33</v>
      </c>
      <c r="C84" s="6" t="s">
        <v>34</v>
      </c>
      <c r="D84" s="4" t="s">
        <v>8</v>
      </c>
      <c r="E84" s="7">
        <v>4.7</v>
      </c>
      <c r="F84" s="7">
        <v>1.1000000000000001</v>
      </c>
      <c r="G84" s="7">
        <v>0</v>
      </c>
      <c r="H84" s="7">
        <v>0</v>
      </c>
      <c r="I84" s="7">
        <v>0</v>
      </c>
    </row>
    <row r="85" spans="1:9" x14ac:dyDescent="0.35">
      <c r="A85" s="4" t="s">
        <v>35</v>
      </c>
      <c r="B85" s="5" t="s">
        <v>36</v>
      </c>
      <c r="C85" s="6" t="str">
        <f>A80&amp;"+"&amp;A81&amp;"+"&amp;A82&amp;"+"&amp;A83&amp;"-"&amp;A84</f>
        <v>[g]+[h]+[i]+[j]-[k]</v>
      </c>
      <c r="D85" s="4" t="s">
        <v>8</v>
      </c>
      <c r="E85" s="7">
        <f>E80+E81+E82+E83-E84</f>
        <v>2676.4323079431924</v>
      </c>
      <c r="F85" s="7">
        <f t="shared" ref="F85:I85" si="35">F80+F81+F82+F83-F84</f>
        <v>2875.1690035878951</v>
      </c>
      <c r="G85" s="7">
        <f t="shared" si="35"/>
        <v>3028.5550045940317</v>
      </c>
      <c r="H85" s="7">
        <f t="shared" si="35"/>
        <v>3175.3053526545318</v>
      </c>
      <c r="I85" s="7">
        <f t="shared" si="35"/>
        <v>3915.6334953132127</v>
      </c>
    </row>
    <row r="86" spans="1:9" x14ac:dyDescent="0.35">
      <c r="A86" s="4" t="s">
        <v>37</v>
      </c>
      <c r="B86" s="5" t="s">
        <v>38</v>
      </c>
      <c r="C86" s="6" t="str">
        <f>A85&amp;"-"&amp;A81&amp;"-"&amp;A82</f>
        <v>[l]-[h]-[i]</v>
      </c>
      <c r="D86" s="4" t="s">
        <v>8</v>
      </c>
      <c r="E86" s="7">
        <f>E85-E81-E82</f>
        <v>2071.9858183000001</v>
      </c>
      <c r="F86" s="7">
        <f t="shared" ref="F86:I86" si="36">F85-F81-F82</f>
        <v>2181.7514259000004</v>
      </c>
      <c r="G86" s="7">
        <f t="shared" si="36"/>
        <v>2272.9449965000003</v>
      </c>
      <c r="H86" s="7">
        <f t="shared" si="36"/>
        <v>2363.2985331000004</v>
      </c>
      <c r="I86" s="7">
        <f t="shared" si="36"/>
        <v>2904.8249375499995</v>
      </c>
    </row>
    <row r="87" spans="1:9" x14ac:dyDescent="0.35">
      <c r="A87" s="4" t="s">
        <v>39</v>
      </c>
      <c r="B87" s="5" t="s">
        <v>40</v>
      </c>
      <c r="C87" s="6" t="s">
        <v>28</v>
      </c>
      <c r="D87" s="4" t="s">
        <v>8</v>
      </c>
      <c r="E87" s="7">
        <v>270.8</v>
      </c>
      <c r="F87" s="7">
        <v>270.39999999999998</v>
      </c>
      <c r="G87" s="7">
        <v>278.8</v>
      </c>
      <c r="H87" s="7">
        <v>284.60000000000002</v>
      </c>
      <c r="I87" s="7">
        <v>296.7</v>
      </c>
    </row>
    <row r="88" spans="1:9" x14ac:dyDescent="0.35">
      <c r="A88" s="4" t="s">
        <v>41</v>
      </c>
      <c r="B88" s="5" t="s">
        <v>42</v>
      </c>
      <c r="C88" s="6" t="s">
        <v>28</v>
      </c>
      <c r="D88" s="4" t="s">
        <v>8</v>
      </c>
      <c r="E88" s="7">
        <v>261</v>
      </c>
      <c r="F88" s="7">
        <v>269.8</v>
      </c>
      <c r="G88" s="7">
        <v>285.39999999999998</v>
      </c>
      <c r="H88" s="7">
        <v>294.60000000000002</v>
      </c>
      <c r="I88" s="7">
        <v>305.3</v>
      </c>
    </row>
    <row r="89" spans="1:9" x14ac:dyDescent="0.35">
      <c r="A89" s="4" t="s">
        <v>43</v>
      </c>
      <c r="B89" s="5" t="s">
        <v>44</v>
      </c>
      <c r="C89" s="6" t="s">
        <v>28</v>
      </c>
      <c r="D89" s="4" t="s">
        <v>8</v>
      </c>
      <c r="E89" s="7">
        <v>30.4</v>
      </c>
      <c r="F89" s="7">
        <v>47.2</v>
      </c>
      <c r="G89" s="7">
        <v>58.9</v>
      </c>
      <c r="H89" s="7">
        <v>72.900000000000006</v>
      </c>
      <c r="I89" s="7">
        <v>79.099999999999994</v>
      </c>
    </row>
    <row r="90" spans="1:9" x14ac:dyDescent="0.35">
      <c r="A90" s="4" t="s">
        <v>45</v>
      </c>
      <c r="B90" s="5" t="s">
        <v>46</v>
      </c>
      <c r="C90" s="6" t="s">
        <v>28</v>
      </c>
      <c r="D90" s="4" t="s">
        <v>8</v>
      </c>
      <c r="E90" s="7">
        <v>498.2</v>
      </c>
      <c r="F90" s="7">
        <v>420.1</v>
      </c>
      <c r="G90" s="7">
        <v>347.2</v>
      </c>
      <c r="H90" s="7">
        <v>326.7</v>
      </c>
      <c r="I90" s="7">
        <v>342</v>
      </c>
    </row>
    <row r="91" spans="1:9" x14ac:dyDescent="0.35">
      <c r="A91" s="4" t="s">
        <v>47</v>
      </c>
      <c r="B91" s="5" t="s">
        <v>48</v>
      </c>
      <c r="C91" s="6" t="s">
        <v>28</v>
      </c>
      <c r="D91" s="4" t="s">
        <v>8</v>
      </c>
      <c r="E91" s="7">
        <v>637.4</v>
      </c>
      <c r="F91" s="7">
        <v>539.1</v>
      </c>
      <c r="G91" s="7">
        <v>437.9</v>
      </c>
      <c r="H91" s="7">
        <v>443.3</v>
      </c>
      <c r="I91" s="7">
        <v>472.1</v>
      </c>
    </row>
    <row r="92" spans="1:9" x14ac:dyDescent="0.35">
      <c r="A92" s="4" t="s">
        <v>49</v>
      </c>
      <c r="B92" s="5" t="s">
        <v>50</v>
      </c>
      <c r="C92" s="6" t="s">
        <v>28</v>
      </c>
      <c r="D92" s="4" t="s">
        <v>8</v>
      </c>
      <c r="E92" s="7">
        <v>0</v>
      </c>
      <c r="F92" s="7">
        <v>0</v>
      </c>
      <c r="G92" s="7">
        <v>0</v>
      </c>
      <c r="H92" s="7">
        <v>0</v>
      </c>
      <c r="I92" s="7">
        <v>0</v>
      </c>
    </row>
    <row r="93" spans="1:9" x14ac:dyDescent="0.35">
      <c r="A93" s="4" t="s">
        <v>51</v>
      </c>
      <c r="B93" s="5" t="s">
        <v>52</v>
      </c>
      <c r="C93" s="6" t="str">
        <f>A85&amp;"-"&amp;A81&amp;"-"&amp;A82&amp;"+"&amp;A87&amp;"-"&amp;A88&amp;"+"&amp;A89&amp;"+"&amp;A90&amp;"-"&amp;A91&amp;"-"&amp;A92</f>
        <v>[l]-[h]-[i]+[n]-[o]+[p]+[q]-[r]-[s]</v>
      </c>
      <c r="D93" s="4" t="s">
        <v>8</v>
      </c>
      <c r="E93" s="7">
        <f>E85-E81-E82+E87-E88+E89+E90-E91-E92</f>
        <v>1972.9858183000001</v>
      </c>
      <c r="F93" s="7">
        <f t="shared" ref="F93:I93" si="37">F85-F81-F82+F87-F88+F89+F90-F91-F92</f>
        <v>2110.5514259000001</v>
      </c>
      <c r="G93" s="7">
        <f t="shared" si="37"/>
        <v>2234.5449965000003</v>
      </c>
      <c r="H93" s="7">
        <f t="shared" si="37"/>
        <v>2309.5985331000002</v>
      </c>
      <c r="I93" s="7">
        <f t="shared" si="37"/>
        <v>2845.2249375499991</v>
      </c>
    </row>
    <row r="94" spans="1:9" x14ac:dyDescent="0.35">
      <c r="A94" s="4" t="s">
        <v>53</v>
      </c>
      <c r="B94" s="5" t="s">
        <v>54</v>
      </c>
      <c r="C94" s="6" t="s">
        <v>55</v>
      </c>
      <c r="D94" s="4" t="s">
        <v>8</v>
      </c>
      <c r="E94" s="7">
        <v>3235.3990000000003</v>
      </c>
      <c r="F94" s="7">
        <v>3361.88</v>
      </c>
      <c r="G94" s="7">
        <v>3485.2559999999999</v>
      </c>
      <c r="H94" s="7">
        <v>3618.6659999999997</v>
      </c>
      <c r="I94" s="7">
        <v>3757.3779999999997</v>
      </c>
    </row>
    <row r="95" spans="1:9" x14ac:dyDescent="0.35">
      <c r="A95" s="4" t="s">
        <v>56</v>
      </c>
      <c r="B95" s="5" t="s">
        <v>57</v>
      </c>
      <c r="C95" s="6" t="s">
        <v>55</v>
      </c>
      <c r="D95" s="4" t="s">
        <v>8</v>
      </c>
      <c r="E95" s="7">
        <v>386.88200000000001</v>
      </c>
      <c r="F95" s="7">
        <v>348.86400000000003</v>
      </c>
      <c r="G95" s="7">
        <v>299.52</v>
      </c>
      <c r="H95" s="7">
        <v>251.07900000000001</v>
      </c>
      <c r="I95" s="7">
        <v>204.55699999999996</v>
      </c>
    </row>
    <row r="96" spans="1:9" x14ac:dyDescent="0.35">
      <c r="A96" s="4" t="s">
        <v>58</v>
      </c>
      <c r="B96" s="5" t="s">
        <v>59</v>
      </c>
      <c r="C96" s="6" t="s">
        <v>60</v>
      </c>
      <c r="D96" s="4" t="s">
        <v>11</v>
      </c>
      <c r="E96" s="14">
        <v>0.86799999999999999</v>
      </c>
      <c r="F96" s="14">
        <v>0.86399999999999999</v>
      </c>
      <c r="G96" s="14">
        <v>0.86899999999999999</v>
      </c>
      <c r="H96" s="14">
        <v>0.872</v>
      </c>
      <c r="I96" s="14">
        <v>0.872</v>
      </c>
    </row>
    <row r="98" spans="1:9" x14ac:dyDescent="0.35">
      <c r="B98" s="10" t="s">
        <v>61</v>
      </c>
    </row>
    <row r="99" spans="1:9" x14ac:dyDescent="0.35">
      <c r="B99" s="2" t="s">
        <v>62</v>
      </c>
      <c r="C99" s="4" t="str">
        <f>A86&amp;" / {"&amp;A78&amp;" + ("&amp;A94&amp;" +"&amp;A95&amp;") x (1 -"&amp;A79&amp;") x"&amp;A96&amp;"}"</f>
        <v>[m] / {[e] + ([u] +[v]) x (1 -[f]) x[w]}</v>
      </c>
      <c r="E99" s="13">
        <f>E86/(E78+(E94+E95)*(1-E79)*E96)</f>
        <v>0.1363421972845352</v>
      </c>
      <c r="F99" s="13">
        <f>F86/(F78+(F94+F95)*(1-F79)*F96)</f>
        <v>0.13806374794387574</v>
      </c>
      <c r="G99" s="13">
        <f>G86/(G78+(G94+G95)*(1-G79)*G96)</f>
        <v>0.1384893878806506</v>
      </c>
      <c r="H99" s="13">
        <f>H86/(H78+(H94+H95)*(1-H79)*H96)</f>
        <v>0.13800128497010164</v>
      </c>
      <c r="I99" s="13">
        <f>I86/(I78+(I94+I95)*(1-I79)*I96)</f>
        <v>0.13883614550132359</v>
      </c>
    </row>
    <row r="100" spans="1:9" x14ac:dyDescent="0.35">
      <c r="B100" s="2" t="s">
        <v>63</v>
      </c>
      <c r="C100" s="4" t="str">
        <f>A93&amp;" / ("&amp;A78&amp;" +"&amp;A94&amp;" x"&amp;A96&amp;")"</f>
        <v>[t] / ([e] +[u] x[w])</v>
      </c>
      <c r="E100" s="13">
        <f>E93/(E78+E95*E96)</f>
        <v>0.14975610239964335</v>
      </c>
      <c r="F100" s="13">
        <f>F93/(F78+F95*F96)</f>
        <v>0.15406216379224785</v>
      </c>
      <c r="G100" s="13">
        <f>G93/(G78+G95*G96)</f>
        <v>0.15729621630680474</v>
      </c>
      <c r="H100" s="13">
        <f>H93/(H78+H95*H96)</f>
        <v>0.15591363384861243</v>
      </c>
      <c r="I100" s="13">
        <f>I93/(I78+I95*I96)</f>
        <v>0.15371324315045515</v>
      </c>
    </row>
    <row r="101" spans="1:9" x14ac:dyDescent="0.35">
      <c r="B101" s="2" t="s">
        <v>76</v>
      </c>
      <c r="C101" s="4" t="str">
        <f>A78&amp;" / "&amp;A85&amp;""</f>
        <v>[e] / [l]</v>
      </c>
      <c r="E101" s="17">
        <f>E78/E85</f>
        <v>4.7970004553810321</v>
      </c>
      <c r="F101" s="17">
        <f t="shared" ref="F101:I101" si="38">F78/F85</f>
        <v>4.6598759875613762</v>
      </c>
      <c r="G101" s="17">
        <f t="shared" si="38"/>
        <v>4.6047322828364399</v>
      </c>
      <c r="H101" s="17">
        <f t="shared" si="38"/>
        <v>4.5962127666868975</v>
      </c>
      <c r="I101" s="17">
        <f t="shared" si="38"/>
        <v>4.6816382385996658</v>
      </c>
    </row>
    <row r="102" spans="1:9" x14ac:dyDescent="0.35">
      <c r="B102" s="2" t="s">
        <v>77</v>
      </c>
      <c r="C102" s="4" t="str">
        <f>A86&amp;" / "&amp;A81&amp;""</f>
        <v>[m] / [h]</v>
      </c>
      <c r="E102" s="17">
        <f>E86/E81</f>
        <v>3.5083500849448148</v>
      </c>
      <c r="F102" s="17">
        <f t="shared" ref="F102:I102" si="39">F86/F81</f>
        <v>3.4067450615975319</v>
      </c>
      <c r="G102" s="17">
        <f t="shared" si="39"/>
        <v>3.3262355045042722</v>
      </c>
      <c r="H102" s="17">
        <f t="shared" si="39"/>
        <v>3.2647602097189665</v>
      </c>
      <c r="I102" s="17">
        <f t="shared" si="39"/>
        <v>3.1819308326973323</v>
      </c>
    </row>
    <row r="103" spans="1:9" x14ac:dyDescent="0.35">
      <c r="C103" s="4"/>
      <c r="E103" s="13"/>
      <c r="F103" s="13"/>
      <c r="G103" s="13"/>
      <c r="H103" s="13"/>
      <c r="I103" s="13"/>
    </row>
    <row r="106" spans="1:9" x14ac:dyDescent="0.35">
      <c r="A106" s="30">
        <v>50</v>
      </c>
      <c r="B106" s="30"/>
      <c r="C106" s="30"/>
      <c r="D106" s="30"/>
      <c r="E106" s="30"/>
      <c r="F106" s="30"/>
      <c r="G106" s="30"/>
      <c r="H106" s="30"/>
      <c r="I106" s="30"/>
    </row>
    <row r="107" spans="1:9" x14ac:dyDescent="0.35">
      <c r="A107" s="3" t="s">
        <v>1</v>
      </c>
      <c r="B107" s="3" t="s">
        <v>2</v>
      </c>
      <c r="C107" s="3" t="s">
        <v>3</v>
      </c>
      <c r="D107" s="3" t="s">
        <v>4</v>
      </c>
      <c r="E107" s="3">
        <v>2027</v>
      </c>
      <c r="F107" s="3">
        <v>2028</v>
      </c>
      <c r="G107" s="3">
        <v>2029</v>
      </c>
      <c r="H107" s="3">
        <v>2030</v>
      </c>
      <c r="I107" s="3">
        <v>2031</v>
      </c>
    </row>
    <row r="108" spans="1:9" x14ac:dyDescent="0.35">
      <c r="A108" s="4" t="s">
        <v>5</v>
      </c>
      <c r="B108" s="5" t="s">
        <v>6</v>
      </c>
      <c r="C108" s="6" t="s">
        <v>7</v>
      </c>
      <c r="D108" s="4" t="s">
        <v>8</v>
      </c>
      <c r="E108" s="7">
        <v>24929.8</v>
      </c>
      <c r="F108" s="7">
        <v>26015.4</v>
      </c>
      <c r="G108" s="7">
        <v>27079</v>
      </c>
      <c r="H108" s="7">
        <v>28338.6</v>
      </c>
      <c r="I108" s="7">
        <v>35595.300000000003</v>
      </c>
    </row>
    <row r="109" spans="1:9" x14ac:dyDescent="0.35">
      <c r="A109" s="4" t="s">
        <v>9</v>
      </c>
      <c r="B109" s="5" t="s">
        <v>10</v>
      </c>
      <c r="C109" s="6" t="s">
        <v>7</v>
      </c>
      <c r="D109" s="4" t="s">
        <v>11</v>
      </c>
      <c r="E109" s="8">
        <v>9.11E-2</v>
      </c>
      <c r="F109" s="8">
        <v>9.11E-2</v>
      </c>
      <c r="G109" s="8">
        <v>9.11E-2</v>
      </c>
      <c r="H109" s="8">
        <v>9.11E-2</v>
      </c>
      <c r="I109" s="8">
        <v>9.11E-2</v>
      </c>
    </row>
    <row r="110" spans="1:9" x14ac:dyDescent="0.35">
      <c r="A110" s="4" t="s">
        <v>12</v>
      </c>
      <c r="B110" s="5" t="s">
        <v>13</v>
      </c>
      <c r="C110" s="6" t="s">
        <v>14</v>
      </c>
      <c r="D110" s="4" t="s">
        <v>11</v>
      </c>
      <c r="E110" s="9">
        <f>A106%</f>
        <v>0.5</v>
      </c>
      <c r="F110" s="9">
        <f>E110</f>
        <v>0.5</v>
      </c>
      <c r="G110" s="9">
        <f t="shared" ref="G110" si="40">F110</f>
        <v>0.5</v>
      </c>
      <c r="H110" s="9">
        <f t="shared" ref="H110" si="41">G110</f>
        <v>0.5</v>
      </c>
      <c r="I110" s="9">
        <f t="shared" ref="I110" si="42">H110</f>
        <v>0.5</v>
      </c>
    </row>
    <row r="111" spans="1:9" x14ac:dyDescent="0.35">
      <c r="A111" s="4" t="s">
        <v>15</v>
      </c>
      <c r="B111" s="5" t="s">
        <v>16</v>
      </c>
      <c r="C111" s="6" t="s">
        <v>7</v>
      </c>
      <c r="D111" s="4" t="s">
        <v>11</v>
      </c>
      <c r="E111" s="8">
        <v>4.5999999999999999E-2</v>
      </c>
      <c r="F111" s="8">
        <v>4.7800000000000002E-2</v>
      </c>
      <c r="G111" s="8">
        <v>4.9000000000000002E-2</v>
      </c>
      <c r="H111" s="8">
        <v>4.9599999999999998E-2</v>
      </c>
      <c r="I111" s="8">
        <v>4.9799999999999997E-2</v>
      </c>
    </row>
    <row r="112" spans="1:9" x14ac:dyDescent="0.35">
      <c r="A112" s="4" t="s">
        <v>17</v>
      </c>
      <c r="B112" s="5" t="s">
        <v>18</v>
      </c>
      <c r="C112" s="4" t="str">
        <f>A108&amp;"*(1-"&amp;A110&amp;")"</f>
        <v>[a]*(1-[c])</v>
      </c>
      <c r="D112" s="4" t="s">
        <v>8</v>
      </c>
      <c r="E112" s="7">
        <f>E108*(1-E110)</f>
        <v>12464.9</v>
      </c>
      <c r="F112" s="7">
        <f>F108*(1-F110)</f>
        <v>13007.7</v>
      </c>
      <c r="G112" s="7">
        <f>G108*(1-G110)</f>
        <v>13539.5</v>
      </c>
      <c r="H112" s="7">
        <f>H108*(1-H110)</f>
        <v>14169.3</v>
      </c>
      <c r="I112" s="7">
        <f>I108*(1-I110)</f>
        <v>17797.650000000001</v>
      </c>
    </row>
    <row r="113" spans="1:9" x14ac:dyDescent="0.35">
      <c r="A113" s="4" t="s">
        <v>19</v>
      </c>
      <c r="B113" s="5" t="s">
        <v>20</v>
      </c>
      <c r="C113" s="4" t="s">
        <v>21</v>
      </c>
      <c r="D113" s="4" t="s">
        <v>11</v>
      </c>
      <c r="E113" s="9">
        <v>0.25</v>
      </c>
      <c r="F113" s="9">
        <v>0.25</v>
      </c>
      <c r="G113" s="9">
        <v>0.25</v>
      </c>
      <c r="H113" s="9">
        <v>0.25</v>
      </c>
      <c r="I113" s="9">
        <v>0.25</v>
      </c>
    </row>
    <row r="114" spans="1:9" x14ac:dyDescent="0.35">
      <c r="A114" s="4" t="s">
        <v>22</v>
      </c>
      <c r="B114" s="5" t="s">
        <v>23</v>
      </c>
      <c r="C114" s="6" t="str">
        <f>A108&amp;"*"&amp;A109&amp;"*"&amp;A110</f>
        <v>[a]*[b]*[c]</v>
      </c>
      <c r="D114" s="4" t="s">
        <v>8</v>
      </c>
      <c r="E114" s="7">
        <f>E108*E109*E110</f>
        <v>1135.5523900000001</v>
      </c>
      <c r="F114" s="7">
        <f>F108*F109*F110</f>
        <v>1185.0014700000002</v>
      </c>
      <c r="G114" s="7">
        <f>G108*G109*G110</f>
        <v>1233.4484500000001</v>
      </c>
      <c r="H114" s="7">
        <f>H108*H109*H110</f>
        <v>1290.82323</v>
      </c>
      <c r="I114" s="7">
        <f>I108*I109*I110</f>
        <v>1621.3659150000001</v>
      </c>
    </row>
    <row r="115" spans="1:9" x14ac:dyDescent="0.35">
      <c r="A115" s="4" t="s">
        <v>24</v>
      </c>
      <c r="B115" s="5" t="s">
        <v>25</v>
      </c>
      <c r="C115" s="6" t="str">
        <f>A108&amp;"*(1-"&amp;A109&amp;")*"&amp;A111</f>
        <v>[a]*(1-[b])*[d]</v>
      </c>
      <c r="D115" s="4" t="s">
        <v>8</v>
      </c>
      <c r="E115" s="7">
        <f>E108*(1-E110)*E111</f>
        <v>573.3854</v>
      </c>
      <c r="F115" s="7">
        <f>F108*(1-F110)*F111</f>
        <v>621.7680600000001</v>
      </c>
      <c r="G115" s="7">
        <f>G108*(1-G110)*G111</f>
        <v>663.43550000000005</v>
      </c>
      <c r="H115" s="7">
        <f>H108*(1-H110)*H111</f>
        <v>702.79727999999989</v>
      </c>
      <c r="I115" s="7">
        <f>I108*(1-I110)*I111</f>
        <v>886.32297000000005</v>
      </c>
    </row>
    <row r="116" spans="1:9" x14ac:dyDescent="0.35">
      <c r="A116" s="4" t="s">
        <v>26</v>
      </c>
      <c r="B116" s="5" t="s">
        <v>27</v>
      </c>
      <c r="C116" s="6" t="s">
        <v>28</v>
      </c>
      <c r="D116" s="4" t="s">
        <v>8</v>
      </c>
      <c r="E116" s="7">
        <v>13.859527643192337</v>
      </c>
      <c r="F116" s="7">
        <v>52.996475887894583</v>
      </c>
      <c r="G116" s="7">
        <v>72.271443094031412</v>
      </c>
      <c r="H116" s="7">
        <v>88.12562115453153</v>
      </c>
      <c r="I116" s="7">
        <v>97.895898663212677</v>
      </c>
    </row>
    <row r="117" spans="1:9" x14ac:dyDescent="0.35">
      <c r="A117" s="4" t="s">
        <v>29</v>
      </c>
      <c r="B117" s="5" t="s">
        <v>30</v>
      </c>
      <c r="C117" s="6" t="s">
        <v>31</v>
      </c>
      <c r="D117" s="4" t="s">
        <v>8</v>
      </c>
      <c r="E117" s="7">
        <v>975.2</v>
      </c>
      <c r="F117" s="7">
        <v>1033.4000000000001</v>
      </c>
      <c r="G117" s="7">
        <v>1076.5</v>
      </c>
      <c r="H117" s="7">
        <v>1111.2</v>
      </c>
      <c r="I117" s="7">
        <v>1332.1</v>
      </c>
    </row>
    <row r="118" spans="1:9" x14ac:dyDescent="0.35">
      <c r="A118" s="4" t="s">
        <v>32</v>
      </c>
      <c r="B118" s="5" t="s">
        <v>33</v>
      </c>
      <c r="C118" s="6" t="s">
        <v>34</v>
      </c>
      <c r="D118" s="4" t="s">
        <v>8</v>
      </c>
      <c r="E118" s="7">
        <v>4.7</v>
      </c>
      <c r="F118" s="7">
        <v>1.1000000000000001</v>
      </c>
      <c r="G118" s="7">
        <v>0</v>
      </c>
      <c r="H118" s="7">
        <v>0</v>
      </c>
      <c r="I118" s="7">
        <v>0</v>
      </c>
    </row>
    <row r="119" spans="1:9" x14ac:dyDescent="0.35">
      <c r="A119" s="4" t="s">
        <v>35</v>
      </c>
      <c r="B119" s="5" t="s">
        <v>36</v>
      </c>
      <c r="C119" s="6" t="str">
        <f>A114&amp;"+"&amp;A115&amp;"+"&amp;A116&amp;"+"&amp;A117&amp;"-"&amp;A118</f>
        <v>[g]+[h]+[i]+[j]-[k]</v>
      </c>
      <c r="D119" s="4" t="s">
        <v>8</v>
      </c>
      <c r="E119" s="7">
        <f>E114+E115+E116+E117-E118</f>
        <v>2693.2973176431924</v>
      </c>
      <c r="F119" s="7">
        <f t="shared" ref="F119:I119" si="43">F114+F115+F116+F117-F118</f>
        <v>2892.0660058878952</v>
      </c>
      <c r="G119" s="7">
        <f t="shared" si="43"/>
        <v>3045.6553930940318</v>
      </c>
      <c r="H119" s="7">
        <f t="shared" si="43"/>
        <v>3192.946131154531</v>
      </c>
      <c r="I119" s="7">
        <f t="shared" si="43"/>
        <v>3937.6847836632128</v>
      </c>
    </row>
    <row r="120" spans="1:9" x14ac:dyDescent="0.35">
      <c r="A120" s="4" t="s">
        <v>37</v>
      </c>
      <c r="B120" s="5" t="s">
        <v>38</v>
      </c>
      <c r="C120" s="6" t="str">
        <f>A119&amp;"-"&amp;A115&amp;"-"&amp;A116</f>
        <v>[l]-[h]-[i]</v>
      </c>
      <c r="D120" s="4" t="s">
        <v>8</v>
      </c>
      <c r="E120" s="7">
        <f>E119-E115-E116</f>
        <v>2106.0523899999998</v>
      </c>
      <c r="F120" s="7">
        <f t="shared" ref="F120:I120" si="44">F119-F115-F116</f>
        <v>2217.3014700000008</v>
      </c>
      <c r="G120" s="7">
        <f t="shared" si="44"/>
        <v>2309.9484500000003</v>
      </c>
      <c r="H120" s="7">
        <f t="shared" si="44"/>
        <v>2402.0232299999998</v>
      </c>
      <c r="I120" s="7">
        <f t="shared" si="44"/>
        <v>2953.4659149999998</v>
      </c>
    </row>
    <row r="121" spans="1:9" x14ac:dyDescent="0.35">
      <c r="A121" s="4" t="s">
        <v>39</v>
      </c>
      <c r="B121" s="5" t="s">
        <v>40</v>
      </c>
      <c r="C121" s="6" t="s">
        <v>28</v>
      </c>
      <c r="D121" s="4" t="s">
        <v>8</v>
      </c>
      <c r="E121" s="7">
        <v>270.8</v>
      </c>
      <c r="F121" s="7">
        <v>270.39999999999998</v>
      </c>
      <c r="G121" s="7">
        <v>278.8</v>
      </c>
      <c r="H121" s="7">
        <v>284.60000000000002</v>
      </c>
      <c r="I121" s="7">
        <v>296.7</v>
      </c>
    </row>
    <row r="122" spans="1:9" x14ac:dyDescent="0.35">
      <c r="A122" s="4" t="s">
        <v>41</v>
      </c>
      <c r="B122" s="5" t="s">
        <v>42</v>
      </c>
      <c r="C122" s="6" t="s">
        <v>28</v>
      </c>
      <c r="D122" s="4" t="s">
        <v>8</v>
      </c>
      <c r="E122" s="7">
        <v>261</v>
      </c>
      <c r="F122" s="7">
        <v>269.8</v>
      </c>
      <c r="G122" s="7">
        <v>285.39999999999998</v>
      </c>
      <c r="H122" s="7">
        <v>294.60000000000002</v>
      </c>
      <c r="I122" s="7">
        <v>305.3</v>
      </c>
    </row>
    <row r="123" spans="1:9" x14ac:dyDescent="0.35">
      <c r="A123" s="4" t="s">
        <v>43</v>
      </c>
      <c r="B123" s="5" t="s">
        <v>44</v>
      </c>
      <c r="C123" s="6" t="s">
        <v>28</v>
      </c>
      <c r="D123" s="4" t="s">
        <v>8</v>
      </c>
      <c r="E123" s="7">
        <v>30.4</v>
      </c>
      <c r="F123" s="7">
        <v>47.2</v>
      </c>
      <c r="G123" s="7">
        <v>58.9</v>
      </c>
      <c r="H123" s="7">
        <v>72.900000000000006</v>
      </c>
      <c r="I123" s="7">
        <v>79.099999999999994</v>
      </c>
    </row>
    <row r="124" spans="1:9" x14ac:dyDescent="0.35">
      <c r="A124" s="4" t="s">
        <v>45</v>
      </c>
      <c r="B124" s="5" t="s">
        <v>46</v>
      </c>
      <c r="C124" s="6" t="s">
        <v>28</v>
      </c>
      <c r="D124" s="4" t="s">
        <v>8</v>
      </c>
      <c r="E124" s="7">
        <v>498.2</v>
      </c>
      <c r="F124" s="7">
        <v>420.1</v>
      </c>
      <c r="G124" s="7">
        <v>347.2</v>
      </c>
      <c r="H124" s="7">
        <v>326.7</v>
      </c>
      <c r="I124" s="7">
        <v>342</v>
      </c>
    </row>
    <row r="125" spans="1:9" x14ac:dyDescent="0.35">
      <c r="A125" s="4" t="s">
        <v>47</v>
      </c>
      <c r="B125" s="5" t="s">
        <v>48</v>
      </c>
      <c r="C125" s="6" t="s">
        <v>28</v>
      </c>
      <c r="D125" s="4" t="s">
        <v>8</v>
      </c>
      <c r="E125" s="7">
        <v>637.4</v>
      </c>
      <c r="F125" s="7">
        <v>539.1</v>
      </c>
      <c r="G125" s="7">
        <v>437.9</v>
      </c>
      <c r="H125" s="7">
        <v>443.3</v>
      </c>
      <c r="I125" s="7">
        <v>472.1</v>
      </c>
    </row>
    <row r="126" spans="1:9" x14ac:dyDescent="0.35">
      <c r="A126" s="4" t="s">
        <v>49</v>
      </c>
      <c r="B126" s="5" t="s">
        <v>50</v>
      </c>
      <c r="C126" s="6" t="s">
        <v>28</v>
      </c>
      <c r="D126" s="4" t="s">
        <v>8</v>
      </c>
      <c r="E126" s="7">
        <v>0</v>
      </c>
      <c r="F126" s="7">
        <v>0</v>
      </c>
      <c r="G126" s="7">
        <v>0</v>
      </c>
      <c r="H126" s="7">
        <v>0</v>
      </c>
      <c r="I126" s="7">
        <v>0</v>
      </c>
    </row>
    <row r="127" spans="1:9" x14ac:dyDescent="0.35">
      <c r="A127" s="4" t="s">
        <v>51</v>
      </c>
      <c r="B127" s="5" t="s">
        <v>52</v>
      </c>
      <c r="C127" s="6" t="str">
        <f>A119&amp;"-"&amp;A115&amp;"-"&amp;A116&amp;"+"&amp;A121&amp;"-"&amp;A122&amp;"+"&amp;A123&amp;"+"&amp;A124&amp;"-"&amp;A125&amp;"-"&amp;A126</f>
        <v>[l]-[h]-[i]+[n]-[o]+[p]+[q]-[r]-[s]</v>
      </c>
      <c r="D127" s="4" t="s">
        <v>8</v>
      </c>
      <c r="E127" s="7">
        <f>E119-E115-E116+E121-E122+E123+E124-E125-E126</f>
        <v>2007.0523899999998</v>
      </c>
      <c r="F127" s="7">
        <f t="shared" ref="F127:I127" si="45">F119-F115-F116+F121-F122+F123+F124-F125-F126</f>
        <v>2146.1014700000005</v>
      </c>
      <c r="G127" s="7">
        <f t="shared" si="45"/>
        <v>2271.5484500000002</v>
      </c>
      <c r="H127" s="7">
        <f t="shared" si="45"/>
        <v>2348.3232299999995</v>
      </c>
      <c r="I127" s="7">
        <f t="shared" si="45"/>
        <v>2893.8659149999994</v>
      </c>
    </row>
    <row r="128" spans="1:9" x14ac:dyDescent="0.35">
      <c r="A128" s="4" t="s">
        <v>53</v>
      </c>
      <c r="B128" s="5" t="s">
        <v>54</v>
      </c>
      <c r="C128" s="6" t="s">
        <v>55</v>
      </c>
      <c r="D128" s="4" t="s">
        <v>8</v>
      </c>
      <c r="E128" s="7">
        <v>3235.3990000000003</v>
      </c>
      <c r="F128" s="7">
        <v>3361.88</v>
      </c>
      <c r="G128" s="7">
        <v>3485.2559999999999</v>
      </c>
      <c r="H128" s="7">
        <v>3618.6659999999997</v>
      </c>
      <c r="I128" s="7">
        <v>3757.3779999999997</v>
      </c>
    </row>
    <row r="129" spans="1:9" x14ac:dyDescent="0.35">
      <c r="A129" s="4" t="s">
        <v>56</v>
      </c>
      <c r="B129" s="5" t="s">
        <v>57</v>
      </c>
      <c r="C129" s="6" t="s">
        <v>55</v>
      </c>
      <c r="D129" s="4" t="s">
        <v>8</v>
      </c>
      <c r="E129" s="7">
        <v>386.88200000000001</v>
      </c>
      <c r="F129" s="7">
        <v>348.86400000000003</v>
      </c>
      <c r="G129" s="7">
        <v>299.52</v>
      </c>
      <c r="H129" s="7">
        <v>251.07900000000001</v>
      </c>
      <c r="I129" s="7">
        <v>204.55699999999996</v>
      </c>
    </row>
    <row r="130" spans="1:9" x14ac:dyDescent="0.35">
      <c r="A130" s="4" t="s">
        <v>58</v>
      </c>
      <c r="B130" s="5" t="s">
        <v>59</v>
      </c>
      <c r="C130" s="6" t="s">
        <v>60</v>
      </c>
      <c r="D130" s="4" t="s">
        <v>11</v>
      </c>
      <c r="E130" s="14">
        <v>0.86799999999999999</v>
      </c>
      <c r="F130" s="14">
        <v>0.86399999999999999</v>
      </c>
      <c r="G130" s="14">
        <v>0.86899999999999999</v>
      </c>
      <c r="H130" s="14">
        <v>0.872</v>
      </c>
      <c r="I130" s="14">
        <v>0.872</v>
      </c>
    </row>
    <row r="132" spans="1:9" x14ac:dyDescent="0.35">
      <c r="B132" s="10" t="s">
        <v>61</v>
      </c>
    </row>
    <row r="133" spans="1:9" x14ac:dyDescent="0.35">
      <c r="B133" s="2" t="s">
        <v>62</v>
      </c>
      <c r="C133" s="4" t="str">
        <f>A120&amp;" / {"&amp;A112&amp;" + ("&amp;A128&amp;" +"&amp;A129&amp;") x (1 -"&amp;A113&amp;") x"&amp;A130&amp;"}"</f>
        <v>[m] / {[e] + ([u] +[v]) x (1 -[f]) x[w]}</v>
      </c>
      <c r="E133" s="13">
        <f>E120/(E112+(E128+E129)*(1-E113)*E130)</f>
        <v>0.14207998984035419</v>
      </c>
      <c r="F133" s="13">
        <f>F120/(F112+(F128+F129)*(1-F113)*F130)</f>
        <v>0.14386606287169279</v>
      </c>
      <c r="G133" s="13">
        <f>G120/(G112+(G128+G129)*(1-G113)*G130)</f>
        <v>0.14431560545834887</v>
      </c>
      <c r="H133" s="13">
        <f>H120/(H112+(H128+H129)*(1-H113)*H130)</f>
        <v>0.1438327511268018</v>
      </c>
      <c r="I133" s="13">
        <f>I120/(I112+(I128+I129)*(1-I113)*I130)</f>
        <v>0.14485758664615778</v>
      </c>
    </row>
    <row r="134" spans="1:9" x14ac:dyDescent="0.35">
      <c r="B134" s="2" t="s">
        <v>63</v>
      </c>
      <c r="C134" s="4" t="str">
        <f>A127&amp;" / ("&amp;A112&amp;" +"&amp;A128&amp;" x"&amp;A130&amp;")"</f>
        <v>[t] / ([e] +[u] x[w])</v>
      </c>
      <c r="E134" s="13">
        <f>E127/(E112+E129*E130)</f>
        <v>0.15679222709607479</v>
      </c>
      <c r="F134" s="13">
        <f>F127/(F112+F129*F130)</f>
        <v>0.16125045927309176</v>
      </c>
      <c r="G134" s="13">
        <f>G127/(G112+G129*G130)</f>
        <v>0.16460754997038041</v>
      </c>
      <c r="H134" s="13">
        <f>H127/(H112+H129*H130)</f>
        <v>0.1632112812316435</v>
      </c>
      <c r="I134" s="13">
        <f>I127/(I112+I129*I130)</f>
        <v>0.16098476296268233</v>
      </c>
    </row>
    <row r="135" spans="1:9" x14ac:dyDescent="0.35">
      <c r="B135" s="2" t="s">
        <v>76</v>
      </c>
      <c r="C135" s="4" t="str">
        <f>A112&amp;" / "&amp;A119&amp;""</f>
        <v>[e] / [l]</v>
      </c>
      <c r="E135" s="17">
        <f>E112/E119</f>
        <v>4.6281188186485052</v>
      </c>
      <c r="F135" s="17">
        <f t="shared" ref="F135:I135" si="46">F112/F119</f>
        <v>4.497718922568815</v>
      </c>
      <c r="G135" s="17">
        <f t="shared" si="46"/>
        <v>4.4455127887089825</v>
      </c>
      <c r="H135" s="17">
        <f t="shared" si="46"/>
        <v>4.4376883974790235</v>
      </c>
      <c r="I135" s="17">
        <f t="shared" si="46"/>
        <v>4.5198259834914758</v>
      </c>
    </row>
    <row r="136" spans="1:9" x14ac:dyDescent="0.35">
      <c r="B136" s="2" t="s">
        <v>77</v>
      </c>
      <c r="C136" s="4" t="str">
        <f>A120&amp;" / "&amp;A115&amp;""</f>
        <v>[m] / [h]</v>
      </c>
      <c r="E136" s="17">
        <f>E120/E115</f>
        <v>3.6730136309714196</v>
      </c>
      <c r="F136" s="17">
        <f t="shared" ref="F136:I136" si="47">F120/F115</f>
        <v>3.5661231456630316</v>
      </c>
      <c r="G136" s="17">
        <f t="shared" si="47"/>
        <v>3.4817980798434816</v>
      </c>
      <c r="H136" s="17">
        <f t="shared" si="47"/>
        <v>3.4178038224621474</v>
      </c>
      <c r="I136" s="17">
        <f t="shared" si="47"/>
        <v>3.3322682757505424</v>
      </c>
    </row>
    <row r="137" spans="1:9" x14ac:dyDescent="0.35">
      <c r="C137" s="4"/>
      <c r="E137" s="13"/>
      <c r="F137" s="13"/>
      <c r="G137" s="13"/>
      <c r="H137" s="13"/>
      <c r="I137" s="13"/>
    </row>
    <row r="140" spans="1:9" x14ac:dyDescent="0.35">
      <c r="A140" s="30">
        <v>52</v>
      </c>
      <c r="B140" s="30"/>
      <c r="C140" s="30"/>
      <c r="D140" s="30"/>
      <c r="E140" s="30"/>
      <c r="F140" s="30"/>
      <c r="G140" s="30"/>
      <c r="H140" s="30"/>
      <c r="I140" s="30"/>
    </row>
    <row r="141" spans="1:9" x14ac:dyDescent="0.35">
      <c r="A141" s="3" t="s">
        <v>1</v>
      </c>
      <c r="B141" s="3" t="s">
        <v>2</v>
      </c>
      <c r="C141" s="3" t="s">
        <v>3</v>
      </c>
      <c r="D141" s="3" t="s">
        <v>4</v>
      </c>
      <c r="E141" s="3">
        <v>2027</v>
      </c>
      <c r="F141" s="3">
        <v>2028</v>
      </c>
      <c r="G141" s="3">
        <v>2029</v>
      </c>
      <c r="H141" s="3">
        <v>2030</v>
      </c>
      <c r="I141" s="3">
        <v>2031</v>
      </c>
    </row>
    <row r="142" spans="1:9" x14ac:dyDescent="0.35">
      <c r="A142" s="4" t="s">
        <v>5</v>
      </c>
      <c r="B142" s="5" t="s">
        <v>6</v>
      </c>
      <c r="C142" s="6" t="s">
        <v>7</v>
      </c>
      <c r="D142" s="4" t="s">
        <v>8</v>
      </c>
      <c r="E142" s="7">
        <v>24929.8</v>
      </c>
      <c r="F142" s="7">
        <v>26015.4</v>
      </c>
      <c r="G142" s="7">
        <v>27079</v>
      </c>
      <c r="H142" s="7">
        <v>28338.6</v>
      </c>
      <c r="I142" s="7">
        <v>35595.300000000003</v>
      </c>
    </row>
    <row r="143" spans="1:9" x14ac:dyDescent="0.35">
      <c r="A143" s="4" t="s">
        <v>9</v>
      </c>
      <c r="B143" s="5" t="s">
        <v>10</v>
      </c>
      <c r="C143" s="6" t="s">
        <v>7</v>
      </c>
      <c r="D143" s="4" t="s">
        <v>11</v>
      </c>
      <c r="E143" s="8">
        <v>9.11E-2</v>
      </c>
      <c r="F143" s="8">
        <v>9.11E-2</v>
      </c>
      <c r="G143" s="8">
        <v>9.11E-2</v>
      </c>
      <c r="H143" s="8">
        <v>9.11E-2</v>
      </c>
      <c r="I143" s="8">
        <v>9.11E-2</v>
      </c>
    </row>
    <row r="144" spans="1:9" x14ac:dyDescent="0.35">
      <c r="A144" s="4" t="s">
        <v>12</v>
      </c>
      <c r="B144" s="5" t="s">
        <v>13</v>
      </c>
      <c r="C144" s="6" t="s">
        <v>14</v>
      </c>
      <c r="D144" s="4" t="s">
        <v>11</v>
      </c>
      <c r="E144" s="9">
        <f>A140%</f>
        <v>0.52</v>
      </c>
      <c r="F144" s="9">
        <f>E144</f>
        <v>0.52</v>
      </c>
      <c r="G144" s="9">
        <f t="shared" ref="G144" si="48">F144</f>
        <v>0.52</v>
      </c>
      <c r="H144" s="9">
        <f t="shared" ref="H144" si="49">G144</f>
        <v>0.52</v>
      </c>
      <c r="I144" s="9">
        <f t="shared" ref="I144" si="50">H144</f>
        <v>0.52</v>
      </c>
    </row>
    <row r="145" spans="1:9" x14ac:dyDescent="0.35">
      <c r="A145" s="4" t="s">
        <v>15</v>
      </c>
      <c r="B145" s="5" t="s">
        <v>16</v>
      </c>
      <c r="C145" s="6" t="s">
        <v>7</v>
      </c>
      <c r="D145" s="4" t="s">
        <v>11</v>
      </c>
      <c r="E145" s="8">
        <v>4.5999999999999999E-2</v>
      </c>
      <c r="F145" s="8">
        <v>4.7800000000000002E-2</v>
      </c>
      <c r="G145" s="8">
        <v>4.9000000000000002E-2</v>
      </c>
      <c r="H145" s="8">
        <v>4.9599999999999998E-2</v>
      </c>
      <c r="I145" s="8">
        <v>4.9799999999999997E-2</v>
      </c>
    </row>
    <row r="146" spans="1:9" x14ac:dyDescent="0.35">
      <c r="A146" s="4" t="s">
        <v>17</v>
      </c>
      <c r="B146" s="5" t="s">
        <v>18</v>
      </c>
      <c r="C146" s="4" t="str">
        <f>A142&amp;"*(1-"&amp;A144&amp;")"</f>
        <v>[a]*(1-[c])</v>
      </c>
      <c r="D146" s="4" t="s">
        <v>8</v>
      </c>
      <c r="E146" s="7">
        <f>E142*(1-E144)</f>
        <v>11966.304</v>
      </c>
      <c r="F146" s="7">
        <f>F142*(1-F144)</f>
        <v>12487.392</v>
      </c>
      <c r="G146" s="7">
        <f>G142*(1-G144)</f>
        <v>12997.92</v>
      </c>
      <c r="H146" s="7">
        <f>H142*(1-H144)</f>
        <v>13602.527999999998</v>
      </c>
      <c r="I146" s="7">
        <f>I142*(1-I144)</f>
        <v>17085.744000000002</v>
      </c>
    </row>
    <row r="147" spans="1:9" x14ac:dyDescent="0.35">
      <c r="A147" s="4" t="s">
        <v>19</v>
      </c>
      <c r="B147" s="5" t="s">
        <v>20</v>
      </c>
      <c r="C147" s="4" t="s">
        <v>21</v>
      </c>
      <c r="D147" s="4" t="s">
        <v>11</v>
      </c>
      <c r="E147" s="9">
        <v>0.25</v>
      </c>
      <c r="F147" s="9">
        <v>0.25</v>
      </c>
      <c r="G147" s="9">
        <v>0.25</v>
      </c>
      <c r="H147" s="9">
        <v>0.25</v>
      </c>
      <c r="I147" s="9">
        <v>0.25</v>
      </c>
    </row>
    <row r="148" spans="1:9" x14ac:dyDescent="0.35">
      <c r="A148" s="4" t="s">
        <v>22</v>
      </c>
      <c r="B148" s="5" t="s">
        <v>23</v>
      </c>
      <c r="C148" s="6" t="str">
        <f>A142&amp;"*"&amp;A143&amp;"*"&amp;A144</f>
        <v>[a]*[b]*[c]</v>
      </c>
      <c r="D148" s="4" t="s">
        <v>8</v>
      </c>
      <c r="E148" s="7">
        <f>E142*E143*E144</f>
        <v>1180.9744856000002</v>
      </c>
      <c r="F148" s="7">
        <f>F142*F143*F144</f>
        <v>1232.4015288000003</v>
      </c>
      <c r="G148" s="7">
        <f>G142*G143*G144</f>
        <v>1282.7863880000002</v>
      </c>
      <c r="H148" s="7">
        <f>H142*H143*H144</f>
        <v>1342.4561592</v>
      </c>
      <c r="I148" s="7">
        <f>I142*I143*I144</f>
        <v>1686.2205516000001</v>
      </c>
    </row>
    <row r="149" spans="1:9" x14ac:dyDescent="0.35">
      <c r="A149" s="4" t="s">
        <v>24</v>
      </c>
      <c r="B149" s="5" t="s">
        <v>25</v>
      </c>
      <c r="C149" s="6" t="str">
        <f>A142&amp;"*(1-"&amp;A143&amp;")*"&amp;A145</f>
        <v>[a]*(1-[b])*[d]</v>
      </c>
      <c r="D149" s="4" t="s">
        <v>8</v>
      </c>
      <c r="E149" s="7">
        <f>E142*(1-E144)*E145</f>
        <v>550.44998399999997</v>
      </c>
      <c r="F149" s="7">
        <f>F142*(1-F144)*F145</f>
        <v>596.89733760000001</v>
      </c>
      <c r="G149" s="7">
        <f>G142*(1-G144)*G145</f>
        <v>636.89808000000005</v>
      </c>
      <c r="H149" s="7">
        <f>H142*(1-H144)*H145</f>
        <v>674.68538879999994</v>
      </c>
      <c r="I149" s="7">
        <f>I142*(1-I144)*I145</f>
        <v>850.87005120000003</v>
      </c>
    </row>
    <row r="150" spans="1:9" x14ac:dyDescent="0.35">
      <c r="A150" s="4" t="s">
        <v>26</v>
      </c>
      <c r="B150" s="5" t="s">
        <v>27</v>
      </c>
      <c r="C150" s="6" t="s">
        <v>28</v>
      </c>
      <c r="D150" s="4" t="s">
        <v>8</v>
      </c>
      <c r="E150" s="7">
        <v>13.859527643192337</v>
      </c>
      <c r="F150" s="7">
        <v>52.996475887894583</v>
      </c>
      <c r="G150" s="7">
        <v>72.271443094031412</v>
      </c>
      <c r="H150" s="7">
        <v>88.12562115453153</v>
      </c>
      <c r="I150" s="7">
        <v>97.895898663212677</v>
      </c>
    </row>
    <row r="151" spans="1:9" x14ac:dyDescent="0.35">
      <c r="A151" s="4" t="s">
        <v>29</v>
      </c>
      <c r="B151" s="5" t="s">
        <v>30</v>
      </c>
      <c r="C151" s="6" t="s">
        <v>31</v>
      </c>
      <c r="D151" s="4" t="s">
        <v>8</v>
      </c>
      <c r="E151" s="7">
        <v>975.2</v>
      </c>
      <c r="F151" s="7">
        <v>1033.4000000000001</v>
      </c>
      <c r="G151" s="7">
        <v>1076.5</v>
      </c>
      <c r="H151" s="7">
        <v>1111.2</v>
      </c>
      <c r="I151" s="7">
        <v>1332.1</v>
      </c>
    </row>
    <row r="152" spans="1:9" x14ac:dyDescent="0.35">
      <c r="A152" s="4" t="s">
        <v>32</v>
      </c>
      <c r="B152" s="5" t="s">
        <v>33</v>
      </c>
      <c r="C152" s="6" t="s">
        <v>34</v>
      </c>
      <c r="D152" s="4" t="s">
        <v>8</v>
      </c>
      <c r="E152" s="7">
        <v>4.7</v>
      </c>
      <c r="F152" s="7">
        <v>1.1000000000000001</v>
      </c>
      <c r="G152" s="7">
        <v>0</v>
      </c>
      <c r="H152" s="7">
        <v>0</v>
      </c>
      <c r="I152" s="7">
        <v>0</v>
      </c>
    </row>
    <row r="153" spans="1:9" x14ac:dyDescent="0.35">
      <c r="A153" s="4" t="s">
        <v>35</v>
      </c>
      <c r="B153" s="5" t="s">
        <v>36</v>
      </c>
      <c r="C153" s="6" t="str">
        <f>A148&amp;"+"&amp;A149&amp;"+"&amp;A150&amp;"+"&amp;A151&amp;"-"&amp;A152</f>
        <v>[g]+[h]+[i]+[j]-[k]</v>
      </c>
      <c r="D153" s="4" t="s">
        <v>8</v>
      </c>
      <c r="E153" s="7">
        <f>E148+E149+E150+E151-E152</f>
        <v>2715.783997243193</v>
      </c>
      <c r="F153" s="7">
        <f t="shared" ref="F153:I153" si="51">F148+F149+F150+F151-F152</f>
        <v>2914.5953422878952</v>
      </c>
      <c r="G153" s="7">
        <f t="shared" si="51"/>
        <v>3068.4559110940318</v>
      </c>
      <c r="H153" s="7">
        <f t="shared" si="51"/>
        <v>3216.4671691545318</v>
      </c>
      <c r="I153" s="7">
        <f t="shared" si="51"/>
        <v>3967.0865014632127</v>
      </c>
    </row>
    <row r="154" spans="1:9" x14ac:dyDescent="0.35">
      <c r="A154" s="4" t="s">
        <v>37</v>
      </c>
      <c r="B154" s="5" t="s">
        <v>38</v>
      </c>
      <c r="C154" s="6" t="str">
        <f>A153&amp;"-"&amp;A149&amp;"-"&amp;A150</f>
        <v>[l]-[h]-[i]</v>
      </c>
      <c r="D154" s="4" t="s">
        <v>8</v>
      </c>
      <c r="E154" s="7">
        <f>E153-E149-E150</f>
        <v>2151.4744856000007</v>
      </c>
      <c r="F154" s="7">
        <f t="shared" ref="F154:I154" si="52">F153-F149-F150</f>
        <v>2264.7015288000007</v>
      </c>
      <c r="G154" s="7">
        <f t="shared" si="52"/>
        <v>2359.2863880000004</v>
      </c>
      <c r="H154" s="7">
        <f t="shared" si="52"/>
        <v>2453.6561592000003</v>
      </c>
      <c r="I154" s="7">
        <f t="shared" si="52"/>
        <v>3018.3205515999998</v>
      </c>
    </row>
    <row r="155" spans="1:9" x14ac:dyDescent="0.35">
      <c r="A155" s="4" t="s">
        <v>39</v>
      </c>
      <c r="B155" s="5" t="s">
        <v>40</v>
      </c>
      <c r="C155" s="6" t="s">
        <v>28</v>
      </c>
      <c r="D155" s="4" t="s">
        <v>8</v>
      </c>
      <c r="E155" s="7">
        <v>270.8</v>
      </c>
      <c r="F155" s="7">
        <v>270.39999999999998</v>
      </c>
      <c r="G155" s="7">
        <v>278.8</v>
      </c>
      <c r="H155" s="7">
        <v>284.60000000000002</v>
      </c>
      <c r="I155" s="7">
        <v>296.7</v>
      </c>
    </row>
    <row r="156" spans="1:9" x14ac:dyDescent="0.35">
      <c r="A156" s="4" t="s">
        <v>41</v>
      </c>
      <c r="B156" s="5" t="s">
        <v>42</v>
      </c>
      <c r="C156" s="6" t="s">
        <v>28</v>
      </c>
      <c r="D156" s="4" t="s">
        <v>8</v>
      </c>
      <c r="E156" s="7">
        <v>261</v>
      </c>
      <c r="F156" s="7">
        <v>269.8</v>
      </c>
      <c r="G156" s="7">
        <v>285.39999999999998</v>
      </c>
      <c r="H156" s="7">
        <v>294.60000000000002</v>
      </c>
      <c r="I156" s="7">
        <v>305.3</v>
      </c>
    </row>
    <row r="157" spans="1:9" x14ac:dyDescent="0.35">
      <c r="A157" s="4" t="s">
        <v>43</v>
      </c>
      <c r="B157" s="5" t="s">
        <v>44</v>
      </c>
      <c r="C157" s="6" t="s">
        <v>28</v>
      </c>
      <c r="D157" s="4" t="s">
        <v>8</v>
      </c>
      <c r="E157" s="7">
        <v>30.4</v>
      </c>
      <c r="F157" s="7">
        <v>47.2</v>
      </c>
      <c r="G157" s="7">
        <v>58.9</v>
      </c>
      <c r="H157" s="7">
        <v>72.900000000000006</v>
      </c>
      <c r="I157" s="7">
        <v>79.099999999999994</v>
      </c>
    </row>
    <row r="158" spans="1:9" x14ac:dyDescent="0.35">
      <c r="A158" s="4" t="s">
        <v>45</v>
      </c>
      <c r="B158" s="5" t="s">
        <v>46</v>
      </c>
      <c r="C158" s="6" t="s">
        <v>28</v>
      </c>
      <c r="D158" s="4" t="s">
        <v>8</v>
      </c>
      <c r="E158" s="7">
        <v>498.2</v>
      </c>
      <c r="F158" s="7">
        <v>420.1</v>
      </c>
      <c r="G158" s="7">
        <v>347.2</v>
      </c>
      <c r="H158" s="7">
        <v>326.7</v>
      </c>
      <c r="I158" s="7">
        <v>342</v>
      </c>
    </row>
    <row r="159" spans="1:9" x14ac:dyDescent="0.35">
      <c r="A159" s="4" t="s">
        <v>47</v>
      </c>
      <c r="B159" s="5" t="s">
        <v>48</v>
      </c>
      <c r="C159" s="6" t="s">
        <v>28</v>
      </c>
      <c r="D159" s="4" t="s">
        <v>8</v>
      </c>
      <c r="E159" s="7">
        <v>637.4</v>
      </c>
      <c r="F159" s="7">
        <v>539.1</v>
      </c>
      <c r="G159" s="7">
        <v>437.9</v>
      </c>
      <c r="H159" s="7">
        <v>443.3</v>
      </c>
      <c r="I159" s="7">
        <v>472.1</v>
      </c>
    </row>
    <row r="160" spans="1:9" x14ac:dyDescent="0.35">
      <c r="A160" s="4" t="s">
        <v>49</v>
      </c>
      <c r="B160" s="5" t="s">
        <v>50</v>
      </c>
      <c r="C160" s="6" t="s">
        <v>28</v>
      </c>
      <c r="D160" s="4" t="s">
        <v>8</v>
      </c>
      <c r="E160" s="7">
        <v>0</v>
      </c>
      <c r="F160" s="7">
        <v>0</v>
      </c>
      <c r="G160" s="7">
        <v>0</v>
      </c>
      <c r="H160" s="7">
        <v>0</v>
      </c>
      <c r="I160" s="7">
        <v>0</v>
      </c>
    </row>
    <row r="161" spans="1:9" x14ac:dyDescent="0.35">
      <c r="A161" s="4" t="s">
        <v>51</v>
      </c>
      <c r="B161" s="5" t="s">
        <v>52</v>
      </c>
      <c r="C161" s="6" t="str">
        <f>A153&amp;"-"&amp;A149&amp;"-"&amp;A150&amp;"+"&amp;A155&amp;"-"&amp;A156&amp;"+"&amp;A157&amp;"+"&amp;A158&amp;"-"&amp;A159&amp;"-"&amp;A160</f>
        <v>[l]-[h]-[i]+[n]-[o]+[p]+[q]-[r]-[s]</v>
      </c>
      <c r="D161" s="4" t="s">
        <v>8</v>
      </c>
      <c r="E161" s="7">
        <f>E153-E149-E150+E155-E156+E157+E158-E159-E160</f>
        <v>2052.4744856000007</v>
      </c>
      <c r="F161" s="7">
        <f t="shared" ref="F161:I161" si="53">F153-F149-F150+F155-F156+F157+F158-F159-F160</f>
        <v>2193.5015288000004</v>
      </c>
      <c r="G161" s="7">
        <f t="shared" si="53"/>
        <v>2320.8863880000004</v>
      </c>
      <c r="H161" s="7">
        <f t="shared" si="53"/>
        <v>2399.9561592</v>
      </c>
      <c r="I161" s="7">
        <f t="shared" si="53"/>
        <v>2958.7205515999995</v>
      </c>
    </row>
    <row r="162" spans="1:9" x14ac:dyDescent="0.35">
      <c r="A162" s="4" t="s">
        <v>53</v>
      </c>
      <c r="B162" s="5" t="s">
        <v>54</v>
      </c>
      <c r="C162" s="6" t="s">
        <v>55</v>
      </c>
      <c r="D162" s="4" t="s">
        <v>8</v>
      </c>
      <c r="E162" s="7">
        <v>3235.3990000000003</v>
      </c>
      <c r="F162" s="7">
        <v>3361.88</v>
      </c>
      <c r="G162" s="7">
        <v>3485.2559999999999</v>
      </c>
      <c r="H162" s="7">
        <v>3618.6659999999997</v>
      </c>
      <c r="I162" s="7">
        <v>3757.3779999999997</v>
      </c>
    </row>
    <row r="163" spans="1:9" x14ac:dyDescent="0.35">
      <c r="A163" s="4" t="s">
        <v>56</v>
      </c>
      <c r="B163" s="5" t="s">
        <v>57</v>
      </c>
      <c r="C163" s="6" t="s">
        <v>55</v>
      </c>
      <c r="D163" s="4" t="s">
        <v>8</v>
      </c>
      <c r="E163" s="7">
        <v>386.88200000000001</v>
      </c>
      <c r="F163" s="7">
        <v>348.86400000000003</v>
      </c>
      <c r="G163" s="7">
        <v>299.52</v>
      </c>
      <c r="H163" s="7">
        <v>251.07900000000001</v>
      </c>
      <c r="I163" s="7">
        <v>204.55699999999996</v>
      </c>
    </row>
    <row r="164" spans="1:9" x14ac:dyDescent="0.35">
      <c r="A164" s="4" t="s">
        <v>58</v>
      </c>
      <c r="B164" s="5" t="s">
        <v>59</v>
      </c>
      <c r="C164" s="6" t="s">
        <v>60</v>
      </c>
      <c r="D164" s="4" t="s">
        <v>11</v>
      </c>
      <c r="E164" s="14">
        <v>0.86799999999999999</v>
      </c>
      <c r="F164" s="14">
        <v>0.86399999999999999</v>
      </c>
      <c r="G164" s="14">
        <v>0.86899999999999999</v>
      </c>
      <c r="H164" s="14">
        <v>0.872</v>
      </c>
      <c r="I164" s="14">
        <v>0.872</v>
      </c>
    </row>
    <row r="166" spans="1:9" x14ac:dyDescent="0.35">
      <c r="B166" s="10" t="s">
        <v>61</v>
      </c>
    </row>
    <row r="167" spans="1:9" x14ac:dyDescent="0.35">
      <c r="B167" s="2" t="s">
        <v>62</v>
      </c>
      <c r="C167" s="4" t="str">
        <f>A154&amp;" / {"&amp;A146&amp;" + ("&amp;A162&amp;" +"&amp;A163&amp;") x (1 -"&amp;A147&amp;") x"&amp;A164&amp;"}"</f>
        <v>[m] / {[e] + ([u] +[v]) x (1 -[f]) x[w]}</v>
      </c>
      <c r="E167" s="13">
        <f>E154/(E146+(E162+E163)*(1-E147)*E164)</f>
        <v>0.15019638827427725</v>
      </c>
      <c r="F167" s="13">
        <f>F154/(F146+(F162+F163)*(1-F147)*F164)</f>
        <v>0.15207551082735976</v>
      </c>
      <c r="G167" s="13">
        <f>G154/(G146+(G162+G163)*(1-G147)*G164)</f>
        <v>0.15255998228472553</v>
      </c>
      <c r="H167" s="13">
        <f>H154/(H146+(H162+H163)*(1-H147)*H164)</f>
        <v>0.15208605112978205</v>
      </c>
      <c r="I167" s="13">
        <f>I154/(I146+(I162+I163)*(1-I147)*I164)</f>
        <v>0.15339450317663633</v>
      </c>
    </row>
    <row r="168" spans="1:9" x14ac:dyDescent="0.35">
      <c r="B168" s="2" t="s">
        <v>63</v>
      </c>
      <c r="C168" s="4" t="str">
        <f>A161&amp;" / ("&amp;A146&amp;" +"&amp;A162&amp;" x"&amp;A164&amp;")"</f>
        <v>[t] / ([e] +[u] x[w])</v>
      </c>
      <c r="E168" s="13">
        <f>E161/(E146+E163*E164)</f>
        <v>0.16683912122610009</v>
      </c>
      <c r="F168" s="13">
        <f>F161/(F146+F163*F164)</f>
        <v>0.1715172438817566</v>
      </c>
      <c r="G168" s="13">
        <f>G161/(G146+G163*G164)</f>
        <v>0.17505286417822566</v>
      </c>
      <c r="H168" s="13">
        <f>H161/(H146+H163*H164)</f>
        <v>0.17363973240815794</v>
      </c>
      <c r="I168" s="13">
        <f>I161/(I146+I163*I164)</f>
        <v>0.17137977175135222</v>
      </c>
    </row>
    <row r="169" spans="1:9" x14ac:dyDescent="0.35">
      <c r="B169" s="2" t="s">
        <v>76</v>
      </c>
      <c r="C169" s="4" t="str">
        <f>A146&amp;" / "&amp;A153&amp;""</f>
        <v>[e] / [l]</v>
      </c>
      <c r="E169" s="17">
        <f>E146/E153</f>
        <v>4.4062060945005417</v>
      </c>
      <c r="F169" s="17">
        <f t="shared" ref="F169:I169" si="54">F146/F153</f>
        <v>4.2844342124686383</v>
      </c>
      <c r="G169" s="17">
        <f t="shared" si="54"/>
        <v>4.2359806940702311</v>
      </c>
      <c r="H169" s="17">
        <f t="shared" si="54"/>
        <v>4.2290274654273894</v>
      </c>
      <c r="I169" s="17">
        <f t="shared" si="54"/>
        <v>4.3068745775263855</v>
      </c>
    </row>
    <row r="170" spans="1:9" x14ac:dyDescent="0.35">
      <c r="B170" s="2" t="s">
        <v>77</v>
      </c>
      <c r="C170" s="4" t="str">
        <f>A154&amp;" / "&amp;A149&amp;""</f>
        <v>[m] / [h]</v>
      </c>
      <c r="E170" s="17">
        <f>E154/E149</f>
        <v>3.9085739815372595</v>
      </c>
      <c r="F170" s="17">
        <f t="shared" ref="F170:I170" si="55">F154/F149</f>
        <v>3.7941223492567318</v>
      </c>
      <c r="G170" s="17">
        <f t="shared" si="55"/>
        <v>3.7043389862315181</v>
      </c>
      <c r="H170" s="17">
        <f t="shared" si="55"/>
        <v>3.6367412129141998</v>
      </c>
      <c r="I170" s="17">
        <f t="shared" si="55"/>
        <v>3.5473343401183275</v>
      </c>
    </row>
    <row r="171" spans="1:9" x14ac:dyDescent="0.35">
      <c r="C171" s="4"/>
      <c r="E171" s="13"/>
      <c r="F171" s="13"/>
      <c r="G171" s="13"/>
      <c r="H171" s="13"/>
      <c r="I171" s="13"/>
    </row>
  </sheetData>
  <mergeCells count="14">
    <mergeCell ref="A72:I72"/>
    <mergeCell ref="A106:I106"/>
    <mergeCell ref="A140:I140"/>
    <mergeCell ref="L12:Q12"/>
    <mergeCell ref="L17:Q17"/>
    <mergeCell ref="L22:Q22"/>
    <mergeCell ref="L27:Q27"/>
    <mergeCell ref="L7:Q7"/>
    <mergeCell ref="W11:AD11"/>
    <mergeCell ref="A4:I4"/>
    <mergeCell ref="A38:I38"/>
    <mergeCell ref="W7:AD7"/>
    <mergeCell ref="W8:AD8"/>
    <mergeCell ref="W6:AD6"/>
  </mergeCells>
  <pageMargins left="0.7" right="0.7" top="0.75" bottom="0.75" header="0.3" footer="0.3"/>
  <pageSetup scale="63" fitToHeight="2" orientation="landscape" useFirstPageNumber="1" r:id="rId1"/>
  <headerFooter>
    <oddHeader>&amp;LExhibit 1
Page &amp;P of 2</oddHeader>
  </headerFooter>
  <rowBreaks count="1" manualBreakCount="1">
    <brk id="32"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DE9B57BA63A9418F45CD830DB80D12" ma:contentTypeVersion="11" ma:contentTypeDescription="Create a new document." ma:contentTypeScope="" ma:versionID="223a6b1ba5ef2a2ddb208cead17a178b">
  <xsd:schema xmlns:xsd="http://www.w3.org/2001/XMLSchema" xmlns:xs="http://www.w3.org/2001/XMLSchema" xmlns:p="http://schemas.microsoft.com/office/2006/metadata/properties" xmlns:ns2="92bafa96-d8e2-4b23-a1de-bf0847eac019" xmlns:ns3="99c52bd8-d28b-451d-b6e8-2f87fe31298f" targetNamespace="http://schemas.microsoft.com/office/2006/metadata/properties" ma:root="true" ma:fieldsID="bf246fbce190657253927da34a7a3ec4" ns2:_="" ns3:_="">
    <xsd:import namespace="92bafa96-d8e2-4b23-a1de-bf0847eac019"/>
    <xsd:import namespace="99c52bd8-d28b-451d-b6e8-2f87fe3129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afa96-d8e2-4b23-a1de-bf0847eac0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c52bd8-d28b-451d-b6e8-2f87fe31298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364d0e-17ff-46de-9f10-6ce967a54ab2}" ma:internalName="TaxCatchAll" ma:showField="CatchAllData" ma:web="99c52bd8-d28b-451d-b6e8-2f87fe3129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bafa96-d8e2-4b23-a1de-bf0847eac019">
      <Terms xmlns="http://schemas.microsoft.com/office/infopath/2007/PartnerControls"/>
    </lcf76f155ced4ddcb4097134ff3c332f>
    <TaxCatchAll xmlns="99c52bd8-d28b-451d-b6e8-2f87fe31298f" xsi:nil="true"/>
  </documentManagement>
</p:properties>
</file>

<file path=customXml/itemProps1.xml><?xml version="1.0" encoding="utf-8"?>
<ds:datastoreItem xmlns:ds="http://schemas.openxmlformats.org/officeDocument/2006/customXml" ds:itemID="{8DE01B10-C49D-4140-A67B-DD6E78D4E7FE}">
  <ds:schemaRefs>
    <ds:schemaRef ds:uri="http://schemas.microsoft.com/sharepoint/v3/contenttype/forms"/>
  </ds:schemaRefs>
</ds:datastoreItem>
</file>

<file path=customXml/itemProps2.xml><?xml version="1.0" encoding="utf-8"?>
<ds:datastoreItem xmlns:ds="http://schemas.openxmlformats.org/officeDocument/2006/customXml" ds:itemID="{3E57501F-6D51-4C22-B672-19C689025C0F}"/>
</file>

<file path=customXml/itemProps3.xml><?xml version="1.0" encoding="utf-8"?>
<ds:datastoreItem xmlns:ds="http://schemas.openxmlformats.org/officeDocument/2006/customXml" ds:itemID="{2C70292A-E937-44BE-ACA5-77D26A57346A}">
  <ds:schemaRefs>
    <ds:schemaRef ds:uri="http://schemas.microsoft.com/office/2006/metadata/properties"/>
    <ds:schemaRef ds:uri="http://schemas.microsoft.com/office/infopath/2007/PartnerControls"/>
    <ds:schemaRef ds:uri="http://www.w3.org/XML/1998/namespace"/>
    <ds:schemaRef ds:uri="http://purl.org/dc/terms/"/>
    <ds:schemaRef ds:uri="76a73a03-073c-4e8a-9fc1-654f7c642b9a"/>
    <ds:schemaRef ds:uri="http://schemas.openxmlformats.org/package/2006/metadata/core-properties"/>
    <ds:schemaRef ds:uri="http://schemas.microsoft.com/office/2006/documentManagement/types"/>
    <ds:schemaRef ds:uri="63d7fcb5-7bd1-497a-b94f-6231df271a74"/>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6.3</vt:lpstr>
      <vt:lpstr>'Table 6.3'!Print_Area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Crowley</dc:creator>
  <cp:keywords/>
  <dc:description/>
  <cp:lastModifiedBy>Fiona O'Connell</cp:lastModifiedBy>
  <cp:revision/>
  <dcterms:created xsi:type="dcterms:W3CDTF">2025-12-01T20:50:13Z</dcterms:created>
  <dcterms:modified xsi:type="dcterms:W3CDTF">2026-06-16T15:27:55Z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0x010100F4DE9B57BA63A9418F45CD830DB80D12</vt:lpwstr>
  </property>
  <property fmtid="{D5CDD505-2E9C-101B-9397-08002B2CF9AE}" pid="3" name="MediaServiceImageTags">
    <vt:lpwstr/>
  </property>
  <property fmtid="{D5CDD505-2E9C-101B-9397-08002B2CF9AE}" pid="4" name="Industry Segment">
    <vt:lpwstr/>
  </property>
  <property fmtid="{D5CDD505-2E9C-101B-9397-08002B2CF9AE}" pid="5" name="Engagement Type">
    <vt:lpwstr/>
  </property>
  <property fmtid="{D5CDD505-2E9C-101B-9397-08002B2CF9AE}" pid="6" name="Industry_x0020_Segment">
    <vt:lpwstr/>
  </property>
  <property fmtid="{D5CDD505-2E9C-101B-9397-08002B2CF9AE}" pid="7" name="Engagement_x0020_Type">
    <vt:lpwstr/>
  </property>
  <property fmtid="{D5CDD505-2E9C-101B-9397-08002B2CF9AE}" pid="8" name="Practice Areas and Services Provided">
    <vt:lpwstr/>
  </property>
  <property fmtid="{D5CDD505-2E9C-101B-9397-08002B2CF9AE}" pid="9" name="Practice_x0020_Areas_x0020_and_x0020_Services_x0020_Provided">
    <vt:lpwstr/>
  </property>
  <property fmtid="{D5CDD505-2E9C-101B-9397-08002B2CF9AE}" pid="10" name="{A44787D4-0540-4523-9961-78E4036D8C6D}">
    <vt:lpwstr>{598A08DD-22B8-4958-A49E-DFA9DED9E108}</vt:lpwstr>
  </property>
</Properties>
</file>