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oconnefi_oeb_ca/Documents/OPG 2027/Expert Reports/IRRs/final/"/>
    </mc:Choice>
  </mc:AlternateContent>
  <xr:revisionPtr revIDLastSave="0" documentId="8_{04961400-D956-4D58-B668-DC6BA540570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nal Proxy Groups" sheetId="4" r:id="rId1"/>
    <sheet name="Proxy Group Screen" sheetId="2" r:id="rId2"/>
    <sheet name="Credit Ratings" sheetId="3" r:id="rId3"/>
    <sheet name="Canadian Business Segment Data" sheetId="6" r:id="rId4"/>
  </sheets>
  <definedNames>
    <definedName name="_xlnm._FilterDatabase" localSheetId="1" hidden="1">'Proxy Group Screen'!$A$6:$Y$65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4" l="1"/>
  <c r="K8" i="4"/>
  <c r="K7" i="4"/>
  <c r="J15" i="4"/>
  <c r="J14" i="4"/>
  <c r="J13" i="4"/>
  <c r="J12" i="4"/>
  <c r="J11" i="4"/>
  <c r="J10" i="4"/>
  <c r="J9" i="4"/>
  <c r="J8" i="4"/>
  <c r="J7" i="4"/>
  <c r="C5" i="4"/>
  <c r="I15" i="2" l="1"/>
  <c r="L54" i="2"/>
  <c r="K54" i="2"/>
  <c r="T54" i="2" s="1"/>
  <c r="N53" i="2"/>
  <c r="K53" i="2"/>
  <c r="M53" i="2"/>
  <c r="L53" i="2"/>
  <c r="U53" i="2" s="1"/>
  <c r="T53" i="2"/>
  <c r="L52" i="2"/>
  <c r="K52" i="2"/>
  <c r="L51" i="2"/>
  <c r="K51" i="2"/>
  <c r="T51" i="2" s="1"/>
  <c r="U55" i="2"/>
  <c r="K55" i="2"/>
  <c r="I55" i="2"/>
  <c r="H55" i="2"/>
  <c r="I54" i="2"/>
  <c r="H54" i="2"/>
  <c r="I53" i="2"/>
  <c r="H53" i="2"/>
  <c r="I52" i="2"/>
  <c r="H52" i="2"/>
  <c r="J52" i="2" s="1"/>
  <c r="I51" i="2"/>
  <c r="H51" i="2"/>
  <c r="J51" i="2" s="1"/>
  <c r="W55" i="2"/>
  <c r="V55" i="2"/>
  <c r="T55" i="2"/>
  <c r="R55" i="2"/>
  <c r="Q55" i="2"/>
  <c r="W54" i="2"/>
  <c r="V54" i="2"/>
  <c r="U54" i="2"/>
  <c r="R54" i="2"/>
  <c r="Q54" i="2"/>
  <c r="W53" i="2"/>
  <c r="V53" i="2"/>
  <c r="R53" i="2"/>
  <c r="Q53" i="2"/>
  <c r="W52" i="2"/>
  <c r="V52" i="2"/>
  <c r="U52" i="2"/>
  <c r="T52" i="2"/>
  <c r="R52" i="2"/>
  <c r="Q52" i="2"/>
  <c r="W51" i="2"/>
  <c r="V51" i="2"/>
  <c r="U51" i="2"/>
  <c r="R51" i="2"/>
  <c r="Q51" i="2"/>
  <c r="U50" i="2"/>
  <c r="T50" i="2"/>
  <c r="R50" i="2"/>
  <c r="Q50" i="2"/>
  <c r="N50" i="2"/>
  <c r="W50" i="2" s="1"/>
  <c r="M50" i="2"/>
  <c r="V50" i="2" s="1"/>
  <c r="I50" i="2"/>
  <c r="J53" i="2" l="1"/>
  <c r="S53" i="2" s="1"/>
  <c r="O53" i="2" s="1"/>
  <c r="S54" i="2"/>
  <c r="O54" i="2" s="1"/>
  <c r="J54" i="2"/>
  <c r="J55" i="2"/>
  <c r="S55" i="2" s="1"/>
  <c r="O55" i="2" s="1"/>
  <c r="S52" i="2"/>
  <c r="O52" i="2" s="1"/>
  <c r="S51" i="2"/>
  <c r="O51" i="2" s="1"/>
  <c r="H50" i="2"/>
  <c r="J13" i="6"/>
  <c r="I13" i="6"/>
  <c r="S50" i="2" l="1"/>
  <c r="O50" i="2" s="1"/>
  <c r="J50" i="2"/>
  <c r="M123" i="6"/>
  <c r="N123" i="6"/>
  <c r="O123" i="6"/>
  <c r="S123" i="6"/>
  <c r="T123" i="6"/>
  <c r="V123" i="6"/>
  <c r="W123" i="6"/>
  <c r="M115" i="6"/>
  <c r="N115" i="6"/>
  <c r="O115" i="6"/>
  <c r="S115" i="6"/>
  <c r="T115" i="6"/>
  <c r="V115" i="6"/>
  <c r="W115" i="6"/>
  <c r="W122" i="6"/>
  <c r="V122" i="6"/>
  <c r="T122" i="6"/>
  <c r="S122" i="6"/>
  <c r="O122" i="6"/>
  <c r="N122" i="6"/>
  <c r="M122" i="6"/>
  <c r="W121" i="6"/>
  <c r="V121" i="6"/>
  <c r="T121" i="6"/>
  <c r="S121" i="6"/>
  <c r="O121" i="6"/>
  <c r="N121" i="6"/>
  <c r="W120" i="6"/>
  <c r="V120" i="6"/>
  <c r="T120" i="6"/>
  <c r="S120" i="6"/>
  <c r="O120" i="6"/>
  <c r="N120" i="6"/>
  <c r="AG119" i="6"/>
  <c r="AE119" i="6"/>
  <c r="AD119" i="6"/>
  <c r="W119" i="6"/>
  <c r="V119" i="6"/>
  <c r="T119" i="6"/>
  <c r="S119" i="6"/>
  <c r="O119" i="6"/>
  <c r="N119" i="6"/>
  <c r="AG118" i="6"/>
  <c r="AE118" i="6"/>
  <c r="AD118" i="6"/>
  <c r="W118" i="6"/>
  <c r="V118" i="6"/>
  <c r="T118" i="6"/>
  <c r="S118" i="6"/>
  <c r="O118" i="6"/>
  <c r="N118" i="6"/>
  <c r="O117" i="6"/>
  <c r="T117" i="6" s="1"/>
  <c r="AE117" i="6" s="1"/>
  <c r="N117" i="6"/>
  <c r="S117" i="6" s="1"/>
  <c r="AD117" i="6" s="1"/>
  <c r="M117" i="6"/>
  <c r="R117" i="6" s="1"/>
  <c r="AC117" i="6" s="1"/>
  <c r="W114" i="6"/>
  <c r="V114" i="6"/>
  <c r="T114" i="6"/>
  <c r="S114" i="6"/>
  <c r="O114" i="6"/>
  <c r="N114" i="6"/>
  <c r="M114" i="6"/>
  <c r="W113" i="6"/>
  <c r="V113" i="6"/>
  <c r="T113" i="6"/>
  <c r="S113" i="6"/>
  <c r="O113" i="6"/>
  <c r="N113" i="6"/>
  <c r="W112" i="6"/>
  <c r="V112" i="6"/>
  <c r="T112" i="6"/>
  <c r="S112" i="6"/>
  <c r="O112" i="6"/>
  <c r="N112" i="6"/>
  <c r="AG111" i="6"/>
  <c r="AE111" i="6"/>
  <c r="AD111" i="6"/>
  <c r="W111" i="6"/>
  <c r="V111" i="6"/>
  <c r="T111" i="6"/>
  <c r="S111" i="6"/>
  <c r="O111" i="6"/>
  <c r="N111" i="6"/>
  <c r="AG110" i="6"/>
  <c r="AE110" i="6"/>
  <c r="AD110" i="6"/>
  <c r="W110" i="6"/>
  <c r="V110" i="6"/>
  <c r="T110" i="6"/>
  <c r="S110" i="6"/>
  <c r="O110" i="6"/>
  <c r="N110" i="6"/>
  <c r="T109" i="6"/>
  <c r="AE109" i="6" s="1"/>
  <c r="O109" i="6"/>
  <c r="N109" i="6"/>
  <c r="S109" i="6" s="1"/>
  <c r="AD109" i="6" s="1"/>
  <c r="M109" i="6"/>
  <c r="R109" i="6" s="1"/>
  <c r="AC109" i="6" s="1"/>
  <c r="W107" i="6"/>
  <c r="V107" i="6"/>
  <c r="T107" i="6"/>
  <c r="S107" i="6"/>
  <c r="O107" i="6"/>
  <c r="N107" i="6"/>
  <c r="AG106" i="6"/>
  <c r="AE106" i="6"/>
  <c r="AD106" i="6"/>
  <c r="W106" i="6"/>
  <c r="V106" i="6"/>
  <c r="T106" i="6"/>
  <c r="S106" i="6"/>
  <c r="O106" i="6"/>
  <c r="N106" i="6"/>
  <c r="AG105" i="6"/>
  <c r="AE105" i="6"/>
  <c r="AD105" i="6"/>
  <c r="W105" i="6"/>
  <c r="V105" i="6"/>
  <c r="T105" i="6"/>
  <c r="S105" i="6"/>
  <c r="O105" i="6"/>
  <c r="N105" i="6"/>
  <c r="O104" i="6"/>
  <c r="T104" i="6" s="1"/>
  <c r="AE104" i="6" s="1"/>
  <c r="N104" i="6"/>
  <c r="S104" i="6" s="1"/>
  <c r="AD104" i="6" s="1"/>
  <c r="M104" i="6"/>
  <c r="R104" i="6" s="1"/>
  <c r="AC104" i="6" s="1"/>
  <c r="W102" i="6"/>
  <c r="V102" i="6"/>
  <c r="T102" i="6"/>
  <c r="S102" i="6"/>
  <c r="O102" i="6"/>
  <c r="N102" i="6"/>
  <c r="AG101" i="6"/>
  <c r="AE101" i="6"/>
  <c r="AD101" i="6"/>
  <c r="W101" i="6"/>
  <c r="V101" i="6"/>
  <c r="T101" i="6"/>
  <c r="S101" i="6"/>
  <c r="O101" i="6"/>
  <c r="N101" i="6"/>
  <c r="AG100" i="6"/>
  <c r="AE100" i="6"/>
  <c r="AD100" i="6"/>
  <c r="W100" i="6"/>
  <c r="V100" i="6"/>
  <c r="T100" i="6"/>
  <c r="S100" i="6"/>
  <c r="O100" i="6"/>
  <c r="N100" i="6"/>
  <c r="T99" i="6"/>
  <c r="AE99" i="6" s="1"/>
  <c r="R99" i="6"/>
  <c r="AC99" i="6" s="1"/>
  <c r="O99" i="6"/>
  <c r="N99" i="6"/>
  <c r="S99" i="6" s="1"/>
  <c r="AD99" i="6" s="1"/>
  <c r="M99" i="6"/>
  <c r="V97" i="6"/>
  <c r="V96" i="6"/>
  <c r="V95" i="6"/>
  <c r="V94" i="6"/>
  <c r="V93" i="6"/>
  <c r="V92" i="6"/>
  <c r="V91" i="6"/>
  <c r="V90" i="6"/>
  <c r="V89" i="6"/>
  <c r="V88" i="6"/>
  <c r="V81" i="6"/>
  <c r="V82" i="6"/>
  <c r="V83" i="6"/>
  <c r="V84" i="6"/>
  <c r="V85" i="6"/>
  <c r="V80" i="6"/>
  <c r="V79" i="6"/>
  <c r="V78" i="6"/>
  <c r="V77" i="6"/>
  <c r="V76" i="6"/>
  <c r="V73" i="6"/>
  <c r="V72" i="6"/>
  <c r="V71" i="6"/>
  <c r="V70" i="6"/>
  <c r="V69" i="6"/>
  <c r="V63" i="6"/>
  <c r="V64" i="6"/>
  <c r="V65" i="6"/>
  <c r="V66" i="6"/>
  <c r="V62" i="6"/>
  <c r="V59" i="6"/>
  <c r="V58" i="6"/>
  <c r="V57" i="6"/>
  <c r="V56" i="6"/>
  <c r="V55" i="6"/>
  <c r="V54" i="6"/>
  <c r="V47" i="6"/>
  <c r="V48" i="6"/>
  <c r="V49" i="6"/>
  <c r="V50" i="6"/>
  <c r="V51" i="6"/>
  <c r="V46" i="6"/>
  <c r="V43" i="6"/>
  <c r="V42" i="6"/>
  <c r="V41" i="6"/>
  <c r="V40" i="6"/>
  <c r="V39" i="6"/>
  <c r="V38" i="6"/>
  <c r="V37" i="6"/>
  <c r="V29" i="6"/>
  <c r="V30" i="6"/>
  <c r="V31" i="6"/>
  <c r="V32" i="6"/>
  <c r="V33" i="6"/>
  <c r="V34" i="6"/>
  <c r="V28" i="6"/>
  <c r="V25" i="6"/>
  <c r="V24" i="6"/>
  <c r="V23" i="6"/>
  <c r="V22" i="6"/>
  <c r="V17" i="6"/>
  <c r="V18" i="6"/>
  <c r="V19" i="6"/>
  <c r="V16" i="6"/>
  <c r="V13" i="6"/>
  <c r="V12" i="6"/>
  <c r="V11" i="6"/>
  <c r="V10" i="6"/>
  <c r="V5" i="6"/>
  <c r="V6" i="6"/>
  <c r="V7" i="6"/>
  <c r="V4" i="6"/>
  <c r="W97" i="6"/>
  <c r="W96" i="6"/>
  <c r="W95" i="6"/>
  <c r="W94" i="6"/>
  <c r="W93" i="6"/>
  <c r="W92" i="6"/>
  <c r="W91" i="6"/>
  <c r="W90" i="6"/>
  <c r="W89" i="6"/>
  <c r="W88" i="6"/>
  <c r="W77" i="6"/>
  <c r="W78" i="6"/>
  <c r="W79" i="6"/>
  <c r="W80" i="6"/>
  <c r="W81" i="6"/>
  <c r="W82" i="6"/>
  <c r="W83" i="6"/>
  <c r="W84" i="6"/>
  <c r="W85" i="6"/>
  <c r="W76" i="6"/>
  <c r="W73" i="6"/>
  <c r="W72" i="6"/>
  <c r="W71" i="6"/>
  <c r="W70" i="6"/>
  <c r="W69" i="6"/>
  <c r="W63" i="6"/>
  <c r="W64" i="6"/>
  <c r="W65" i="6"/>
  <c r="W66" i="6"/>
  <c r="W62" i="6"/>
  <c r="W59" i="6"/>
  <c r="W58" i="6"/>
  <c r="W57" i="6"/>
  <c r="W56" i="6"/>
  <c r="W55" i="6"/>
  <c r="W54" i="6"/>
  <c r="W47" i="6"/>
  <c r="W48" i="6"/>
  <c r="W49" i="6"/>
  <c r="W50" i="6"/>
  <c r="W51" i="6"/>
  <c r="W46" i="6"/>
  <c r="W43" i="6"/>
  <c r="W42" i="6"/>
  <c r="W41" i="6"/>
  <c r="W40" i="6"/>
  <c r="W39" i="6"/>
  <c r="W38" i="6"/>
  <c r="W37" i="6"/>
  <c r="W29" i="6"/>
  <c r="W30" i="6"/>
  <c r="W31" i="6"/>
  <c r="W32" i="6"/>
  <c r="W33" i="6"/>
  <c r="W34" i="6"/>
  <c r="W28" i="6"/>
  <c r="W25" i="6"/>
  <c r="W24" i="6"/>
  <c r="W23" i="6"/>
  <c r="W22" i="6"/>
  <c r="W19" i="6"/>
  <c r="W18" i="6"/>
  <c r="W17" i="6"/>
  <c r="W16" i="6"/>
  <c r="W13" i="6"/>
  <c r="W12" i="6"/>
  <c r="W11" i="6"/>
  <c r="W10" i="6"/>
  <c r="W5" i="6"/>
  <c r="W6" i="6"/>
  <c r="W7" i="6"/>
  <c r="W4" i="6"/>
  <c r="M95" i="6"/>
  <c r="N95" i="6"/>
  <c r="O95" i="6"/>
  <c r="M96" i="6"/>
  <c r="N96" i="6"/>
  <c r="O96" i="6"/>
  <c r="M97" i="6"/>
  <c r="N97" i="6"/>
  <c r="O97" i="6"/>
  <c r="M83" i="6"/>
  <c r="N83" i="6"/>
  <c r="O83" i="6"/>
  <c r="M84" i="6"/>
  <c r="N84" i="6"/>
  <c r="O84" i="6"/>
  <c r="M85" i="6"/>
  <c r="N85" i="6"/>
  <c r="O85" i="6"/>
  <c r="AG89" i="6"/>
  <c r="AG88" i="6"/>
  <c r="O87" i="6"/>
  <c r="T87" i="6" s="1"/>
  <c r="AE87" i="6" s="1"/>
  <c r="N87" i="6"/>
  <c r="S87" i="6" s="1"/>
  <c r="AD87" i="6" s="1"/>
  <c r="M87" i="6"/>
  <c r="R87" i="6" s="1"/>
  <c r="AC87" i="6" s="1"/>
  <c r="AG77" i="6"/>
  <c r="AG76" i="6"/>
  <c r="O75" i="6"/>
  <c r="T75" i="6" s="1"/>
  <c r="AE75" i="6" s="1"/>
  <c r="N75" i="6"/>
  <c r="S75" i="6" s="1"/>
  <c r="AD75" i="6" s="1"/>
  <c r="M75" i="6"/>
  <c r="R75" i="6" s="1"/>
  <c r="AC75" i="6" s="1"/>
  <c r="W39" i="2"/>
  <c r="T39" i="2"/>
  <c r="U39" i="2"/>
  <c r="T41" i="2"/>
  <c r="U41" i="2"/>
  <c r="V41" i="2"/>
  <c r="W41" i="2"/>
  <c r="T42" i="2"/>
  <c r="U42" i="2"/>
  <c r="V42" i="2"/>
  <c r="W42" i="2"/>
  <c r="T43" i="2"/>
  <c r="U43" i="2"/>
  <c r="T44" i="2"/>
  <c r="U44" i="2"/>
  <c r="T45" i="2"/>
  <c r="U45" i="2"/>
  <c r="T46" i="2"/>
  <c r="U46" i="2"/>
  <c r="T47" i="2"/>
  <c r="U47" i="2"/>
  <c r="T48" i="2"/>
  <c r="U48" i="2"/>
  <c r="T49" i="2"/>
  <c r="U49" i="2"/>
  <c r="T56" i="2"/>
  <c r="U56" i="2"/>
  <c r="W40" i="2"/>
  <c r="V40" i="2"/>
  <c r="U40" i="2"/>
  <c r="T40" i="2"/>
  <c r="T8" i="2"/>
  <c r="U8" i="2"/>
  <c r="V8" i="2"/>
  <c r="W8" i="2"/>
  <c r="T9" i="2"/>
  <c r="U9" i="2"/>
  <c r="V9" i="2"/>
  <c r="W9" i="2"/>
  <c r="T10" i="2"/>
  <c r="U10" i="2"/>
  <c r="V10" i="2"/>
  <c r="W10" i="2"/>
  <c r="T11" i="2"/>
  <c r="U11" i="2"/>
  <c r="V11" i="2"/>
  <c r="W11" i="2"/>
  <c r="T12" i="2"/>
  <c r="U12" i="2"/>
  <c r="V12" i="2"/>
  <c r="W12" i="2"/>
  <c r="T13" i="2"/>
  <c r="U13" i="2"/>
  <c r="V13" i="2"/>
  <c r="W13" i="2"/>
  <c r="T14" i="2"/>
  <c r="U14" i="2"/>
  <c r="V14" i="2"/>
  <c r="W14" i="2"/>
  <c r="T15" i="2"/>
  <c r="U15" i="2"/>
  <c r="V15" i="2"/>
  <c r="W15" i="2"/>
  <c r="T16" i="2"/>
  <c r="U16" i="2"/>
  <c r="V16" i="2"/>
  <c r="W16" i="2"/>
  <c r="T17" i="2"/>
  <c r="U17" i="2"/>
  <c r="V17" i="2"/>
  <c r="W17" i="2"/>
  <c r="T18" i="2"/>
  <c r="U18" i="2"/>
  <c r="V18" i="2"/>
  <c r="W18" i="2"/>
  <c r="T19" i="2"/>
  <c r="U19" i="2"/>
  <c r="V19" i="2"/>
  <c r="W19" i="2"/>
  <c r="T20" i="2"/>
  <c r="U20" i="2"/>
  <c r="V20" i="2"/>
  <c r="W20" i="2"/>
  <c r="T21" i="2"/>
  <c r="U21" i="2"/>
  <c r="V21" i="2"/>
  <c r="W21" i="2"/>
  <c r="T22" i="2"/>
  <c r="U22" i="2"/>
  <c r="V22" i="2"/>
  <c r="W22" i="2"/>
  <c r="T23" i="2"/>
  <c r="U23" i="2"/>
  <c r="V23" i="2"/>
  <c r="W23" i="2"/>
  <c r="T24" i="2"/>
  <c r="U24" i="2"/>
  <c r="V24" i="2"/>
  <c r="W24" i="2"/>
  <c r="T25" i="2"/>
  <c r="U25" i="2"/>
  <c r="V25" i="2"/>
  <c r="W25" i="2"/>
  <c r="T26" i="2"/>
  <c r="U26" i="2"/>
  <c r="V26" i="2"/>
  <c r="W26" i="2"/>
  <c r="T27" i="2"/>
  <c r="U27" i="2"/>
  <c r="V27" i="2"/>
  <c r="W27" i="2"/>
  <c r="T28" i="2"/>
  <c r="U28" i="2"/>
  <c r="V28" i="2"/>
  <c r="W28" i="2"/>
  <c r="T29" i="2"/>
  <c r="U29" i="2"/>
  <c r="V29" i="2"/>
  <c r="W29" i="2"/>
  <c r="T30" i="2"/>
  <c r="U30" i="2"/>
  <c r="V30" i="2"/>
  <c r="W30" i="2"/>
  <c r="T31" i="2"/>
  <c r="U31" i="2"/>
  <c r="V31" i="2"/>
  <c r="W31" i="2"/>
  <c r="T32" i="2"/>
  <c r="U32" i="2"/>
  <c r="V32" i="2"/>
  <c r="W32" i="2"/>
  <c r="T33" i="2"/>
  <c r="U33" i="2"/>
  <c r="V33" i="2"/>
  <c r="W33" i="2"/>
  <c r="T34" i="2"/>
  <c r="U34" i="2"/>
  <c r="V34" i="2"/>
  <c r="W34" i="2"/>
  <c r="T35" i="2"/>
  <c r="U35" i="2"/>
  <c r="V35" i="2"/>
  <c r="W35" i="2"/>
  <c r="T36" i="2"/>
  <c r="U36" i="2"/>
  <c r="V36" i="2"/>
  <c r="W36" i="2"/>
  <c r="T37" i="2"/>
  <c r="U37" i="2"/>
  <c r="V37" i="2"/>
  <c r="W37" i="2"/>
  <c r="T38" i="2"/>
  <c r="U38" i="2"/>
  <c r="V38" i="2"/>
  <c r="W38" i="2"/>
  <c r="W7" i="2"/>
  <c r="V7" i="2"/>
  <c r="U7" i="2"/>
  <c r="T7" i="2"/>
  <c r="M66" i="6"/>
  <c r="N66" i="6"/>
  <c r="O66" i="6"/>
  <c r="S66" i="6"/>
  <c r="T66" i="6"/>
  <c r="M73" i="6"/>
  <c r="N73" i="6"/>
  <c r="O73" i="6"/>
  <c r="O72" i="6"/>
  <c r="N72" i="6"/>
  <c r="M72" i="6"/>
  <c r="O71" i="6"/>
  <c r="N71" i="6"/>
  <c r="AG70" i="6"/>
  <c r="O70" i="6"/>
  <c r="AG69" i="6"/>
  <c r="O69" i="6"/>
  <c r="N70" i="6"/>
  <c r="O68" i="6"/>
  <c r="T68" i="6" s="1"/>
  <c r="AE68" i="6" s="1"/>
  <c r="N68" i="6"/>
  <c r="S68" i="6" s="1"/>
  <c r="AD68" i="6" s="1"/>
  <c r="M68" i="6"/>
  <c r="R68" i="6" s="1"/>
  <c r="AC68" i="6" s="1"/>
  <c r="T65" i="6"/>
  <c r="S65" i="6"/>
  <c r="O65" i="6"/>
  <c r="N65" i="6"/>
  <c r="M65" i="6"/>
  <c r="T64" i="6"/>
  <c r="S64" i="6"/>
  <c r="O64" i="6"/>
  <c r="N64" i="6"/>
  <c r="AG63" i="6"/>
  <c r="AE63" i="6"/>
  <c r="AD63" i="6"/>
  <c r="T63" i="6"/>
  <c r="S63" i="6"/>
  <c r="O63" i="6"/>
  <c r="N63" i="6"/>
  <c r="AG62" i="6"/>
  <c r="AE62" i="6"/>
  <c r="AD62" i="6"/>
  <c r="T62" i="6"/>
  <c r="S62" i="6"/>
  <c r="O62" i="6"/>
  <c r="N62" i="6"/>
  <c r="O61" i="6"/>
  <c r="T61" i="6" s="1"/>
  <c r="AE61" i="6" s="1"/>
  <c r="N61" i="6"/>
  <c r="S61" i="6" s="1"/>
  <c r="AD61" i="6" s="1"/>
  <c r="M61" i="6"/>
  <c r="R61" i="6" s="1"/>
  <c r="AC61" i="6" s="1"/>
  <c r="K58" i="6"/>
  <c r="J58" i="6"/>
  <c r="I58" i="6"/>
  <c r="K57" i="6"/>
  <c r="J57" i="6"/>
  <c r="I57" i="6"/>
  <c r="K56" i="6"/>
  <c r="J56" i="6"/>
  <c r="I56" i="6"/>
  <c r="K55" i="6"/>
  <c r="J55" i="6"/>
  <c r="I55" i="6"/>
  <c r="K54" i="6"/>
  <c r="J54" i="6"/>
  <c r="I54" i="6"/>
  <c r="O59" i="6"/>
  <c r="N59" i="6"/>
  <c r="M59" i="6"/>
  <c r="O58" i="6"/>
  <c r="N58" i="6"/>
  <c r="M58" i="6"/>
  <c r="O57" i="6"/>
  <c r="N57" i="6"/>
  <c r="M57" i="6"/>
  <c r="AG55" i="6"/>
  <c r="AG54" i="6"/>
  <c r="O53" i="6"/>
  <c r="T53" i="6" s="1"/>
  <c r="AE53" i="6" s="1"/>
  <c r="N53" i="6"/>
  <c r="S53" i="6" s="1"/>
  <c r="AD53" i="6" s="1"/>
  <c r="M53" i="6"/>
  <c r="R53" i="6" s="1"/>
  <c r="AC53" i="6" s="1"/>
  <c r="T51" i="6"/>
  <c r="S51" i="6"/>
  <c r="O51" i="6"/>
  <c r="N51" i="6"/>
  <c r="M51" i="6"/>
  <c r="T50" i="6"/>
  <c r="S50" i="6"/>
  <c r="O50" i="6"/>
  <c r="N50" i="6"/>
  <c r="M50" i="6"/>
  <c r="T49" i="6"/>
  <c r="S49" i="6"/>
  <c r="O49" i="6"/>
  <c r="N49" i="6"/>
  <c r="M49" i="6"/>
  <c r="T48" i="6"/>
  <c r="S48" i="6"/>
  <c r="O48" i="6"/>
  <c r="N48" i="6"/>
  <c r="AG47" i="6"/>
  <c r="AE47" i="6"/>
  <c r="AD47" i="6"/>
  <c r="T47" i="6"/>
  <c r="S47" i="6"/>
  <c r="O47" i="6"/>
  <c r="N47" i="6"/>
  <c r="AG46" i="6"/>
  <c r="AE46" i="6"/>
  <c r="AD46" i="6"/>
  <c r="T46" i="6"/>
  <c r="S46" i="6"/>
  <c r="O46" i="6"/>
  <c r="N46" i="6"/>
  <c r="O45" i="6"/>
  <c r="T45" i="6" s="1"/>
  <c r="AE45" i="6" s="1"/>
  <c r="N45" i="6"/>
  <c r="S45" i="6" s="1"/>
  <c r="AD45" i="6" s="1"/>
  <c r="M45" i="6"/>
  <c r="R45" i="6" s="1"/>
  <c r="AC45" i="6" s="1"/>
  <c r="M40" i="6"/>
  <c r="N40" i="6"/>
  <c r="O40" i="6"/>
  <c r="R40" i="6"/>
  <c r="S40" i="6"/>
  <c r="T40" i="6"/>
  <c r="M41" i="6"/>
  <c r="N41" i="6"/>
  <c r="O41" i="6"/>
  <c r="R41" i="6"/>
  <c r="S41" i="6"/>
  <c r="T41" i="6"/>
  <c r="M42" i="6"/>
  <c r="N42" i="6"/>
  <c r="O42" i="6"/>
  <c r="R42" i="6"/>
  <c r="S42" i="6"/>
  <c r="T42" i="6"/>
  <c r="M43" i="6"/>
  <c r="N43" i="6"/>
  <c r="O43" i="6"/>
  <c r="R43" i="6"/>
  <c r="S43" i="6"/>
  <c r="T43" i="6"/>
  <c r="M31" i="6"/>
  <c r="N31" i="6"/>
  <c r="O31" i="6"/>
  <c r="R31" i="6"/>
  <c r="S31" i="6"/>
  <c r="T31" i="6"/>
  <c r="M32" i="6"/>
  <c r="N32" i="6"/>
  <c r="O32" i="6"/>
  <c r="R32" i="6"/>
  <c r="S32" i="6"/>
  <c r="T32" i="6"/>
  <c r="M33" i="6"/>
  <c r="N33" i="6"/>
  <c r="O33" i="6"/>
  <c r="R33" i="6"/>
  <c r="S33" i="6"/>
  <c r="T33" i="6"/>
  <c r="M34" i="6"/>
  <c r="N34" i="6"/>
  <c r="O34" i="6"/>
  <c r="R34" i="6"/>
  <c r="S34" i="6"/>
  <c r="T34" i="6"/>
  <c r="AE37" i="6"/>
  <c r="AD38" i="6"/>
  <c r="T39" i="6"/>
  <c r="O39" i="6"/>
  <c r="N39" i="6"/>
  <c r="M39" i="6"/>
  <c r="AG38" i="6"/>
  <c r="R38" i="6"/>
  <c r="O38" i="6"/>
  <c r="N38" i="6"/>
  <c r="M38" i="6"/>
  <c r="AG37" i="6"/>
  <c r="O37" i="6"/>
  <c r="N37" i="6"/>
  <c r="M37" i="6"/>
  <c r="O36" i="6"/>
  <c r="T36" i="6" s="1"/>
  <c r="AE36" i="6" s="1"/>
  <c r="N36" i="6"/>
  <c r="S36" i="6" s="1"/>
  <c r="AD36" i="6" s="1"/>
  <c r="M36" i="6"/>
  <c r="R36" i="6" s="1"/>
  <c r="AC36" i="6" s="1"/>
  <c r="T30" i="6"/>
  <c r="S30" i="6"/>
  <c r="R30" i="6"/>
  <c r="O30" i="6"/>
  <c r="N30" i="6"/>
  <c r="M30" i="6"/>
  <c r="AG29" i="6"/>
  <c r="AE29" i="6"/>
  <c r="AD29" i="6"/>
  <c r="AC29" i="6"/>
  <c r="T29" i="6"/>
  <c r="S29" i="6"/>
  <c r="R29" i="6"/>
  <c r="O29" i="6"/>
  <c r="N29" i="6"/>
  <c r="M29" i="6"/>
  <c r="AG28" i="6"/>
  <c r="AE28" i="6"/>
  <c r="AD28" i="6"/>
  <c r="AC28" i="6"/>
  <c r="T28" i="6"/>
  <c r="S28" i="6"/>
  <c r="R28" i="6"/>
  <c r="O28" i="6"/>
  <c r="N28" i="6"/>
  <c r="M28" i="6"/>
  <c r="O27" i="6"/>
  <c r="T27" i="6" s="1"/>
  <c r="AE27" i="6" s="1"/>
  <c r="N27" i="6"/>
  <c r="S27" i="6" s="1"/>
  <c r="AD27" i="6" s="1"/>
  <c r="M27" i="6"/>
  <c r="R27" i="6" s="1"/>
  <c r="AC27" i="6" s="1"/>
  <c r="M121" i="6" l="1"/>
  <c r="M120" i="6"/>
  <c r="P120" i="6" s="1"/>
  <c r="AC118" i="6"/>
  <c r="AF118" i="6" s="1"/>
  <c r="M118" i="6"/>
  <c r="P118" i="6" s="1"/>
  <c r="R119" i="6"/>
  <c r="U119" i="6" s="1"/>
  <c r="R122" i="6"/>
  <c r="R121" i="6"/>
  <c r="U121" i="6" s="1"/>
  <c r="R123" i="6"/>
  <c r="U123" i="6" s="1"/>
  <c r="AC119" i="6"/>
  <c r="AF119" i="6" s="1"/>
  <c r="M119" i="6"/>
  <c r="P119" i="6" s="1"/>
  <c r="R120" i="6"/>
  <c r="U120" i="6" s="1"/>
  <c r="R118" i="6"/>
  <c r="U118" i="6" s="1"/>
  <c r="AC111" i="6"/>
  <c r="AF111" i="6" s="1"/>
  <c r="M111" i="6"/>
  <c r="R114" i="6"/>
  <c r="U114" i="6" s="1"/>
  <c r="R113" i="6"/>
  <c r="U113" i="6" s="1"/>
  <c r="R112" i="6"/>
  <c r="U112" i="6" s="1"/>
  <c r="R110" i="6"/>
  <c r="U110" i="6" s="1"/>
  <c r="M113" i="6"/>
  <c r="P113" i="6" s="1"/>
  <c r="M112" i="6"/>
  <c r="P112" i="6" s="1"/>
  <c r="AC110" i="6"/>
  <c r="AF110" i="6" s="1"/>
  <c r="M110" i="6"/>
  <c r="R115" i="6"/>
  <c r="U115" i="6" s="1"/>
  <c r="R111" i="6"/>
  <c r="U111" i="6" s="1"/>
  <c r="P123" i="6"/>
  <c r="P115" i="6"/>
  <c r="U122" i="6"/>
  <c r="P122" i="6"/>
  <c r="P110" i="6"/>
  <c r="P114" i="6"/>
  <c r="P111" i="6"/>
  <c r="P121" i="6"/>
  <c r="M107" i="6"/>
  <c r="P107" i="6" s="1"/>
  <c r="AC105" i="6"/>
  <c r="AF105" i="6" s="1"/>
  <c r="M105" i="6"/>
  <c r="P105" i="6" s="1"/>
  <c r="R106" i="6"/>
  <c r="U106" i="6" s="1"/>
  <c r="R107" i="6"/>
  <c r="U107" i="6" s="1"/>
  <c r="R105" i="6"/>
  <c r="U105" i="6" s="1"/>
  <c r="AC106" i="6"/>
  <c r="AF106" i="6" s="1"/>
  <c r="M106" i="6"/>
  <c r="P106" i="6" s="1"/>
  <c r="M102" i="6"/>
  <c r="P102" i="6" s="1"/>
  <c r="M100" i="6"/>
  <c r="P100" i="6" s="1"/>
  <c r="AC101" i="6"/>
  <c r="AF101" i="6" s="1"/>
  <c r="M101" i="6"/>
  <c r="P101" i="6" s="1"/>
  <c r="AC100" i="6"/>
  <c r="AF100" i="6" s="1"/>
  <c r="R102" i="6"/>
  <c r="U102" i="6" s="1"/>
  <c r="R100" i="6"/>
  <c r="U100" i="6" s="1"/>
  <c r="R101" i="6"/>
  <c r="U101" i="6" s="1"/>
  <c r="N88" i="6"/>
  <c r="N77" i="6"/>
  <c r="AD89" i="6"/>
  <c r="O78" i="6"/>
  <c r="S88" i="6"/>
  <c r="O89" i="6"/>
  <c r="AE89" i="6"/>
  <c r="N78" i="6"/>
  <c r="N89" i="6"/>
  <c r="O76" i="6"/>
  <c r="S77" i="6"/>
  <c r="T78" i="6"/>
  <c r="T81" i="6"/>
  <c r="N76" i="6"/>
  <c r="O77" i="6"/>
  <c r="S78" i="6"/>
  <c r="S76" i="6"/>
  <c r="T77" i="6"/>
  <c r="O79" i="6"/>
  <c r="T88" i="6"/>
  <c r="S84" i="6"/>
  <c r="T76" i="6"/>
  <c r="AD77" i="6"/>
  <c r="S79" i="6"/>
  <c r="AD88" i="6"/>
  <c r="N90" i="6"/>
  <c r="T97" i="6"/>
  <c r="T95" i="6"/>
  <c r="AD76" i="6"/>
  <c r="AE77" i="6"/>
  <c r="T79" i="6"/>
  <c r="AE88" i="6"/>
  <c r="O90" i="6"/>
  <c r="S97" i="6"/>
  <c r="S95" i="6"/>
  <c r="AE76" i="6"/>
  <c r="S90" i="6"/>
  <c r="T89" i="6"/>
  <c r="T84" i="6"/>
  <c r="T82" i="6"/>
  <c r="N94" i="6"/>
  <c r="T93" i="6"/>
  <c r="T92" i="6"/>
  <c r="N79" i="6"/>
  <c r="O88" i="6"/>
  <c r="S89" i="6"/>
  <c r="T90" i="6"/>
  <c r="S81" i="6"/>
  <c r="S92" i="6"/>
  <c r="O81" i="6"/>
  <c r="O92" i="6"/>
  <c r="S83" i="6"/>
  <c r="N81" i="6"/>
  <c r="T94" i="6"/>
  <c r="N92" i="6"/>
  <c r="T80" i="6"/>
  <c r="S94" i="6"/>
  <c r="T91" i="6"/>
  <c r="O94" i="6"/>
  <c r="T85" i="6"/>
  <c r="S82" i="6"/>
  <c r="S80" i="6"/>
  <c r="S93" i="6"/>
  <c r="S91" i="6"/>
  <c r="S85" i="6"/>
  <c r="O82" i="6"/>
  <c r="O80" i="6"/>
  <c r="T96" i="6"/>
  <c r="O93" i="6"/>
  <c r="O91" i="6"/>
  <c r="T83" i="6"/>
  <c r="N82" i="6"/>
  <c r="N80" i="6"/>
  <c r="S96" i="6"/>
  <c r="N93" i="6"/>
  <c r="N91" i="6"/>
  <c r="P95" i="6"/>
  <c r="M94" i="6"/>
  <c r="R97" i="6"/>
  <c r="M89" i="6"/>
  <c r="R88" i="6"/>
  <c r="M93" i="6"/>
  <c r="R96" i="6"/>
  <c r="M92" i="6"/>
  <c r="R95" i="6"/>
  <c r="R90" i="6"/>
  <c r="R89" i="6"/>
  <c r="M91" i="6"/>
  <c r="R94" i="6"/>
  <c r="M88" i="6"/>
  <c r="R91" i="6"/>
  <c r="R93" i="6"/>
  <c r="AC88" i="6"/>
  <c r="M90" i="6"/>
  <c r="R92" i="6"/>
  <c r="AC89" i="6"/>
  <c r="P96" i="6"/>
  <c r="P97" i="6"/>
  <c r="R80" i="6"/>
  <c r="M77" i="6"/>
  <c r="R76" i="6"/>
  <c r="M80" i="6"/>
  <c r="M78" i="6"/>
  <c r="R82" i="6"/>
  <c r="M79" i="6"/>
  <c r="AC77" i="6"/>
  <c r="R83" i="6"/>
  <c r="R77" i="6"/>
  <c r="R81" i="6"/>
  <c r="R78" i="6"/>
  <c r="M82" i="6"/>
  <c r="R85" i="6"/>
  <c r="R79" i="6"/>
  <c r="M76" i="6"/>
  <c r="M81" i="6"/>
  <c r="R84" i="6"/>
  <c r="AC76" i="6"/>
  <c r="P84" i="6"/>
  <c r="P83" i="6"/>
  <c r="P85" i="6"/>
  <c r="M71" i="6"/>
  <c r="P71" i="6" s="1"/>
  <c r="M70" i="6"/>
  <c r="P70" i="6" s="1"/>
  <c r="M63" i="6"/>
  <c r="P63" i="6" s="1"/>
  <c r="R62" i="6"/>
  <c r="U62" i="6" s="1"/>
  <c r="AC63" i="6"/>
  <c r="AF63" i="6" s="1"/>
  <c r="R64" i="6"/>
  <c r="U64" i="6" s="1"/>
  <c r="R65" i="6"/>
  <c r="U65" i="6" s="1"/>
  <c r="M62" i="6"/>
  <c r="P62" i="6" s="1"/>
  <c r="AC62" i="6"/>
  <c r="AF62" i="6" s="1"/>
  <c r="R66" i="6"/>
  <c r="U66" i="6" s="1"/>
  <c r="M64" i="6"/>
  <c r="P64" i="6" s="1"/>
  <c r="R63" i="6"/>
  <c r="U63" i="6" s="1"/>
  <c r="P66" i="6"/>
  <c r="P73" i="6"/>
  <c r="S73" i="6"/>
  <c r="T73" i="6"/>
  <c r="R73" i="6"/>
  <c r="S69" i="6"/>
  <c r="R70" i="6"/>
  <c r="AD70" i="6"/>
  <c r="T69" i="6"/>
  <c r="P72" i="6"/>
  <c r="AD69" i="6"/>
  <c r="R72" i="6"/>
  <c r="S72" i="6"/>
  <c r="P65" i="6"/>
  <c r="R69" i="6"/>
  <c r="AE70" i="6"/>
  <c r="T72" i="6"/>
  <c r="S70" i="6"/>
  <c r="R71" i="6"/>
  <c r="T70" i="6"/>
  <c r="S71" i="6"/>
  <c r="M69" i="6"/>
  <c r="T71" i="6"/>
  <c r="N69" i="6"/>
  <c r="AC69" i="6"/>
  <c r="AC70" i="6"/>
  <c r="AE69" i="6"/>
  <c r="N54" i="6"/>
  <c r="R58" i="6"/>
  <c r="T58" i="6"/>
  <c r="R56" i="6"/>
  <c r="R55" i="6"/>
  <c r="T59" i="6"/>
  <c r="N55" i="6"/>
  <c r="AE55" i="6"/>
  <c r="T55" i="6"/>
  <c r="S58" i="6"/>
  <c r="M54" i="6"/>
  <c r="O54" i="6"/>
  <c r="AC55" i="6"/>
  <c r="M55" i="6"/>
  <c r="AE54" i="6"/>
  <c r="T56" i="6"/>
  <c r="M56" i="6"/>
  <c r="R54" i="6"/>
  <c r="O55" i="6"/>
  <c r="S54" i="6"/>
  <c r="N56" i="6"/>
  <c r="R57" i="6"/>
  <c r="T54" i="6"/>
  <c r="S55" i="6"/>
  <c r="O56" i="6"/>
  <c r="T57" i="6"/>
  <c r="AC54" i="6"/>
  <c r="R59" i="6"/>
  <c r="S59" i="6"/>
  <c r="R49" i="6"/>
  <c r="U49" i="6" s="1"/>
  <c r="M46" i="6"/>
  <c r="P46" i="6" s="1"/>
  <c r="R50" i="6"/>
  <c r="U50" i="6" s="1"/>
  <c r="AC46" i="6"/>
  <c r="AF46" i="6" s="1"/>
  <c r="R51" i="6"/>
  <c r="U51" i="6" s="1"/>
  <c r="M48" i="6"/>
  <c r="P48" i="6" s="1"/>
  <c r="R47" i="6"/>
  <c r="U47" i="6" s="1"/>
  <c r="M47" i="6"/>
  <c r="P47" i="6" s="1"/>
  <c r="R46" i="6"/>
  <c r="U46" i="6" s="1"/>
  <c r="AC47" i="6"/>
  <c r="AF47" i="6" s="1"/>
  <c r="R48" i="6"/>
  <c r="U48" i="6" s="1"/>
  <c r="AD54" i="6"/>
  <c r="S56" i="6"/>
  <c r="S57" i="6"/>
  <c r="AD55" i="6"/>
  <c r="P50" i="6"/>
  <c r="P49" i="6"/>
  <c r="P59" i="6"/>
  <c r="P58" i="6"/>
  <c r="P57" i="6"/>
  <c r="P51" i="6"/>
  <c r="P43" i="6"/>
  <c r="P42" i="6"/>
  <c r="P33" i="6"/>
  <c r="P32" i="6"/>
  <c r="P31" i="6"/>
  <c r="U34" i="6"/>
  <c r="P41" i="6"/>
  <c r="P34" i="6"/>
  <c r="U40" i="6"/>
  <c r="U31" i="6"/>
  <c r="U43" i="6"/>
  <c r="U42" i="6"/>
  <c r="U41" i="6"/>
  <c r="U33" i="6"/>
  <c r="U32" i="6"/>
  <c r="P40" i="6"/>
  <c r="AC38" i="6"/>
  <c r="R37" i="6"/>
  <c r="AC37" i="6"/>
  <c r="R39" i="6"/>
  <c r="AE38" i="6"/>
  <c r="T37" i="6"/>
  <c r="U29" i="6"/>
  <c r="T38" i="6"/>
  <c r="AD37" i="6"/>
  <c r="P29" i="6"/>
  <c r="AF29" i="6"/>
  <c r="P38" i="6"/>
  <c r="U28" i="6"/>
  <c r="P39" i="6"/>
  <c r="AF28" i="6"/>
  <c r="P37" i="6"/>
  <c r="U30" i="6"/>
  <c r="P28" i="6"/>
  <c r="P30" i="6"/>
  <c r="S39" i="6"/>
  <c r="S38" i="6"/>
  <c r="S37" i="6"/>
  <c r="Z111" i="6" l="1"/>
  <c r="Z110" i="6"/>
  <c r="Z112" i="6"/>
  <c r="U95" i="6"/>
  <c r="Z29" i="6"/>
  <c r="Z63" i="6"/>
  <c r="U78" i="6"/>
  <c r="Z47" i="6"/>
  <c r="Z28" i="6"/>
  <c r="M45" i="2" s="1"/>
  <c r="Z46" i="6"/>
  <c r="M46" i="2" s="1"/>
  <c r="Z64" i="6"/>
  <c r="M47" i="2" s="1"/>
  <c r="Z62" i="6"/>
  <c r="P78" i="6"/>
  <c r="U89" i="6"/>
  <c r="P88" i="6"/>
  <c r="AF89" i="6"/>
  <c r="U76" i="6"/>
  <c r="P89" i="6"/>
  <c r="U84" i="6"/>
  <c r="P77" i="6"/>
  <c r="U80" i="6"/>
  <c r="P94" i="6"/>
  <c r="P76" i="6"/>
  <c r="AF77" i="6"/>
  <c r="U94" i="6"/>
  <c r="U97" i="6"/>
  <c r="AF76" i="6"/>
  <c r="U77" i="6"/>
  <c r="U93" i="6"/>
  <c r="P91" i="6"/>
  <c r="AF88" i="6"/>
  <c r="U91" i="6"/>
  <c r="U81" i="6"/>
  <c r="P81" i="6"/>
  <c r="U79" i="6"/>
  <c r="U88" i="6"/>
  <c r="U82" i="6"/>
  <c r="P90" i="6"/>
  <c r="P79" i="6"/>
  <c r="U96" i="6"/>
  <c r="U92" i="6"/>
  <c r="U85" i="6"/>
  <c r="U90" i="6"/>
  <c r="U83" i="6"/>
  <c r="P92" i="6"/>
  <c r="P80" i="6"/>
  <c r="P93" i="6"/>
  <c r="P82" i="6"/>
  <c r="U73" i="6"/>
  <c r="U70" i="6"/>
  <c r="Z119" i="6" s="1"/>
  <c r="AF70" i="6"/>
  <c r="U72" i="6"/>
  <c r="U69" i="6"/>
  <c r="P69" i="6"/>
  <c r="AF69" i="6"/>
  <c r="U71" i="6"/>
  <c r="U59" i="6"/>
  <c r="P55" i="6"/>
  <c r="U58" i="6"/>
  <c r="P54" i="6"/>
  <c r="AF54" i="6"/>
  <c r="AF55" i="6"/>
  <c r="P56" i="6"/>
  <c r="U55" i="6"/>
  <c r="U56" i="6"/>
  <c r="U54" i="6"/>
  <c r="U57" i="6"/>
  <c r="U37" i="6"/>
  <c r="AF38" i="6"/>
  <c r="U38" i="6"/>
  <c r="AF37" i="6"/>
  <c r="U39" i="6"/>
  <c r="Z118" i="6" l="1"/>
  <c r="Z120" i="6"/>
  <c r="Z54" i="6"/>
  <c r="N46" i="2" s="1"/>
  <c r="Z37" i="6"/>
  <c r="N45" i="2" s="1"/>
  <c r="Z88" i="6"/>
  <c r="N48" i="2" s="1"/>
  <c r="Z69" i="6"/>
  <c r="Z71" i="6"/>
  <c r="N47" i="2" s="1"/>
  <c r="Z76" i="6"/>
  <c r="M48" i="2" s="1"/>
  <c r="Z89" i="6"/>
  <c r="Z77" i="6"/>
  <c r="Z55" i="6"/>
  <c r="Z70" i="6"/>
  <c r="Z38" i="6"/>
  <c r="AG4" i="6" l="1"/>
  <c r="AG5" i="6"/>
  <c r="AD10" i="6"/>
  <c r="AE10" i="6"/>
  <c r="AD11" i="6"/>
  <c r="AE11" i="6"/>
  <c r="AC10" i="6"/>
  <c r="AC11" i="6"/>
  <c r="AG23" i="6"/>
  <c r="AG22" i="6"/>
  <c r="AG17" i="6"/>
  <c r="AE17" i="6"/>
  <c r="AD17" i="6"/>
  <c r="AC17" i="6"/>
  <c r="AG16" i="6"/>
  <c r="AE16" i="6"/>
  <c r="AD16" i="6"/>
  <c r="AC16" i="6"/>
  <c r="AG11" i="6"/>
  <c r="AG10" i="6"/>
  <c r="AD5" i="6"/>
  <c r="AE5" i="6"/>
  <c r="AC5" i="6"/>
  <c r="AD4" i="6"/>
  <c r="AE4" i="6"/>
  <c r="AC4" i="6"/>
  <c r="I25" i="6"/>
  <c r="R25" i="6" s="1"/>
  <c r="K25" i="6"/>
  <c r="T25" i="6" s="1"/>
  <c r="J25" i="6"/>
  <c r="S25" i="6" s="1"/>
  <c r="O25" i="6"/>
  <c r="N25" i="6"/>
  <c r="M25" i="6"/>
  <c r="T19" i="6"/>
  <c r="S19" i="6"/>
  <c r="R19" i="6"/>
  <c r="O19" i="6"/>
  <c r="N19" i="6"/>
  <c r="M19" i="6"/>
  <c r="O24" i="6"/>
  <c r="N24" i="6"/>
  <c r="M24" i="6"/>
  <c r="O23" i="6"/>
  <c r="N23" i="6"/>
  <c r="M23" i="6"/>
  <c r="O22" i="6"/>
  <c r="N22" i="6"/>
  <c r="M22" i="6"/>
  <c r="O21" i="6"/>
  <c r="T21" i="6" s="1"/>
  <c r="AE21" i="6" s="1"/>
  <c r="N21" i="6"/>
  <c r="S21" i="6" s="1"/>
  <c r="AD21" i="6" s="1"/>
  <c r="M21" i="6"/>
  <c r="R21" i="6" s="1"/>
  <c r="AC21" i="6" s="1"/>
  <c r="T18" i="6"/>
  <c r="S18" i="6"/>
  <c r="R18" i="6"/>
  <c r="O18" i="6"/>
  <c r="N18" i="6"/>
  <c r="M18" i="6"/>
  <c r="T17" i="6"/>
  <c r="S17" i="6"/>
  <c r="R17" i="6"/>
  <c r="O17" i="6"/>
  <c r="N17" i="6"/>
  <c r="M17" i="6"/>
  <c r="T16" i="6"/>
  <c r="S16" i="6"/>
  <c r="R16" i="6"/>
  <c r="O16" i="6"/>
  <c r="N16" i="6"/>
  <c r="M16" i="6"/>
  <c r="O15" i="6"/>
  <c r="T15" i="6" s="1"/>
  <c r="AE15" i="6" s="1"/>
  <c r="N15" i="6"/>
  <c r="S15" i="6" s="1"/>
  <c r="AD15" i="6" s="1"/>
  <c r="M15" i="6"/>
  <c r="R15" i="6" s="1"/>
  <c r="AC15" i="6" s="1"/>
  <c r="T7" i="6"/>
  <c r="S7" i="6"/>
  <c r="R7" i="6"/>
  <c r="O7" i="6"/>
  <c r="N7" i="6"/>
  <c r="M7" i="6"/>
  <c r="T6" i="6"/>
  <c r="S6" i="6"/>
  <c r="R6" i="6"/>
  <c r="O6" i="6"/>
  <c r="N6" i="6"/>
  <c r="M6" i="6"/>
  <c r="T5" i="6"/>
  <c r="S5" i="6"/>
  <c r="R5" i="6"/>
  <c r="O5" i="6"/>
  <c r="N5" i="6"/>
  <c r="M5" i="6"/>
  <c r="T4" i="6"/>
  <c r="S4" i="6"/>
  <c r="R4" i="6"/>
  <c r="O4" i="6"/>
  <c r="N4" i="6"/>
  <c r="M4" i="6"/>
  <c r="O3" i="6"/>
  <c r="T3" i="6" s="1"/>
  <c r="AE3" i="6" s="1"/>
  <c r="N3" i="6"/>
  <c r="S3" i="6" s="1"/>
  <c r="AD3" i="6" s="1"/>
  <c r="M3" i="6"/>
  <c r="R3" i="6" s="1"/>
  <c r="AC3" i="6" s="1"/>
  <c r="S10" i="6"/>
  <c r="T10" i="6"/>
  <c r="S11" i="6"/>
  <c r="T11" i="6"/>
  <c r="S12" i="6"/>
  <c r="T12" i="6"/>
  <c r="S13" i="6"/>
  <c r="T13" i="6"/>
  <c r="R11" i="6"/>
  <c r="R12" i="6"/>
  <c r="R13" i="6"/>
  <c r="R10" i="6"/>
  <c r="M11" i="6"/>
  <c r="N11" i="6"/>
  <c r="O11" i="6"/>
  <c r="M12" i="6"/>
  <c r="N12" i="6"/>
  <c r="O12" i="6"/>
  <c r="M13" i="6"/>
  <c r="N13" i="6"/>
  <c r="O13" i="6"/>
  <c r="N10" i="6"/>
  <c r="O10" i="6"/>
  <c r="M10" i="6"/>
  <c r="O9" i="6"/>
  <c r="T9" i="6" s="1"/>
  <c r="AE9" i="6" s="1"/>
  <c r="N9" i="6"/>
  <c r="S9" i="6" s="1"/>
  <c r="AD9" i="6" s="1"/>
  <c r="M9" i="6"/>
  <c r="R9" i="6" s="1"/>
  <c r="AC9" i="6" s="1"/>
  <c r="T23" i="6" l="1"/>
  <c r="W45" i="2"/>
  <c r="V46" i="2"/>
  <c r="V56" i="2"/>
  <c r="V47" i="2"/>
  <c r="W47" i="2"/>
  <c r="V45" i="2"/>
  <c r="W56" i="2"/>
  <c r="V48" i="2"/>
  <c r="AC22" i="6"/>
  <c r="AF17" i="6"/>
  <c r="AD22" i="6"/>
  <c r="AE22" i="6"/>
  <c r="AC23" i="6"/>
  <c r="AD23" i="6"/>
  <c r="AF16" i="6"/>
  <c r="AE23" i="6"/>
  <c r="AF11" i="6"/>
  <c r="AF10" i="6"/>
  <c r="AF5" i="6"/>
  <c r="T22" i="6"/>
  <c r="R24" i="6"/>
  <c r="T24" i="6"/>
  <c r="R23" i="6"/>
  <c r="R22" i="6"/>
  <c r="S24" i="6"/>
  <c r="S23" i="6"/>
  <c r="S22" i="6"/>
  <c r="U25" i="6"/>
  <c r="P25" i="6"/>
  <c r="P19" i="6"/>
  <c r="U19" i="6"/>
  <c r="P5" i="6"/>
  <c r="U18" i="6"/>
  <c r="P4" i="6"/>
  <c r="P6" i="6"/>
  <c r="P22" i="6"/>
  <c r="U17" i="6"/>
  <c r="U6" i="6"/>
  <c r="U5" i="6"/>
  <c r="U7" i="6"/>
  <c r="P16" i="6"/>
  <c r="U16" i="6"/>
  <c r="P24" i="6"/>
  <c r="P18" i="6"/>
  <c r="U11" i="6"/>
  <c r="P7" i="6"/>
  <c r="P23" i="6"/>
  <c r="P12" i="6"/>
  <c r="U4" i="6"/>
  <c r="Z100" i="6" s="1"/>
  <c r="M49" i="2" s="1"/>
  <c r="V49" i="2" s="1"/>
  <c r="P17" i="6"/>
  <c r="P11" i="6"/>
  <c r="U10" i="6"/>
  <c r="Z105" i="6" s="1"/>
  <c r="N49" i="2" s="1"/>
  <c r="W49" i="2" s="1"/>
  <c r="U12" i="6"/>
  <c r="P10" i="6"/>
  <c r="P13" i="6"/>
  <c r="U13" i="6"/>
  <c r="Z17" i="6" l="1"/>
  <c r="Z5" i="6"/>
  <c r="Z16" i="6"/>
  <c r="M44" i="2" s="1"/>
  <c r="V44" i="2" s="1"/>
  <c r="Z4" i="6"/>
  <c r="M43" i="2" s="1"/>
  <c r="V43" i="2" s="1"/>
  <c r="Z6" i="6"/>
  <c r="Z10" i="6"/>
  <c r="N43" i="2" s="1"/>
  <c r="Z11" i="6"/>
  <c r="U22" i="6"/>
  <c r="AF22" i="6"/>
  <c r="U24" i="6"/>
  <c r="AF23" i="6"/>
  <c r="AF4" i="6"/>
  <c r="U23" i="6"/>
  <c r="Z23" i="6" l="1"/>
  <c r="Z22" i="6"/>
  <c r="N44" i="2" s="1"/>
  <c r="W44" i="2" s="1"/>
  <c r="I56" i="2" l="1"/>
  <c r="H45" i="2"/>
  <c r="H22" i="2"/>
  <c r="J22" i="2" s="1"/>
  <c r="I22" i="2"/>
  <c r="H49" i="2"/>
  <c r="I45" i="2"/>
  <c r="I49" i="2"/>
  <c r="H56" i="2"/>
  <c r="J56" i="2" s="1"/>
  <c r="H40" i="2"/>
  <c r="I44" i="2"/>
  <c r="J49" i="2" l="1"/>
  <c r="J40" i="2"/>
  <c r="J45" i="2"/>
  <c r="I40" i="2"/>
  <c r="H44" i="2"/>
  <c r="J44" i="2" s="1"/>
  <c r="H17" i="2"/>
  <c r="I35" i="2"/>
  <c r="I14" i="2"/>
  <c r="I29" i="2"/>
  <c r="I43" i="2"/>
  <c r="I7" i="2"/>
  <c r="I31" i="2"/>
  <c r="I10" i="2"/>
  <c r="I48" i="2"/>
  <c r="I19" i="2"/>
  <c r="I8" i="2"/>
  <c r="H19" i="2"/>
  <c r="J19" i="2" s="1"/>
  <c r="I26" i="2"/>
  <c r="I36" i="2"/>
  <c r="I42" i="2"/>
  <c r="I41" i="2"/>
  <c r="I24" i="2"/>
  <c r="I9" i="2"/>
  <c r="I11" i="2"/>
  <c r="H33" i="2"/>
  <c r="I32" i="2"/>
  <c r="I25" i="2"/>
  <c r="H39" i="2"/>
  <c r="H34" i="2"/>
  <c r="H16" i="2"/>
  <c r="H29" i="2"/>
  <c r="J29" i="2" s="1"/>
  <c r="H28" i="2"/>
  <c r="I16" i="2" l="1"/>
  <c r="J16" i="2" s="1"/>
  <c r="H10" i="2"/>
  <c r="J10" i="2" s="1"/>
  <c r="H24" i="2"/>
  <c r="J24" i="2" s="1"/>
  <c r="H8" i="2"/>
  <c r="J8" i="2" s="1"/>
  <c r="H25" i="2"/>
  <c r="J25" i="2" s="1"/>
  <c r="I18" i="2"/>
  <c r="H11" i="2"/>
  <c r="J11" i="2" s="1"/>
  <c r="H7" i="2"/>
  <c r="J7" i="2" s="1"/>
  <c r="H41" i="2"/>
  <c r="J41" i="2" s="1"/>
  <c r="H35" i="2"/>
  <c r="J35" i="2" s="1"/>
  <c r="H32" i="2"/>
  <c r="J32" i="2" s="1"/>
  <c r="H26" i="2"/>
  <c r="J26" i="2" s="1"/>
  <c r="H18" i="2"/>
  <c r="H42" i="2"/>
  <c r="J42" i="2" s="1"/>
  <c r="H9" i="2"/>
  <c r="H27" i="2"/>
  <c r="I27" i="2"/>
  <c r="I46" i="2"/>
  <c r="H46" i="2"/>
  <c r="H15" i="2"/>
  <c r="J15" i="2" s="1"/>
  <c r="H47" i="2"/>
  <c r="I47" i="2"/>
  <c r="I28" i="2"/>
  <c r="J28" i="2" s="1"/>
  <c r="I13" i="2"/>
  <c r="H13" i="2"/>
  <c r="J13" i="2" s="1"/>
  <c r="H36" i="2"/>
  <c r="J36" i="2" s="1"/>
  <c r="I38" i="2"/>
  <c r="H38" i="2"/>
  <c r="J38" i="2" s="1"/>
  <c r="I12" i="2"/>
  <c r="H12" i="2"/>
  <c r="J12" i="2" s="1"/>
  <c r="H37" i="2"/>
  <c r="I37" i="2"/>
  <c r="H23" i="2"/>
  <c r="I23" i="2"/>
  <c r="I39" i="2"/>
  <c r="J39" i="2" s="1"/>
  <c r="H14" i="2"/>
  <c r="J14" i="2" s="1"/>
  <c r="I34" i="2"/>
  <c r="J34" i="2" s="1"/>
  <c r="I17" i="2"/>
  <c r="J17" i="2" s="1"/>
  <c r="I33" i="2"/>
  <c r="J33" i="2" s="1"/>
  <c r="I30" i="2"/>
  <c r="H30" i="2"/>
  <c r="J30" i="2" s="1"/>
  <c r="H43" i="2"/>
  <c r="J43" i="2" s="1"/>
  <c r="I20" i="2"/>
  <c r="H20" i="2"/>
  <c r="J20" i="2" s="1"/>
  <c r="H21" i="2"/>
  <c r="I21" i="2"/>
  <c r="H48" i="2"/>
  <c r="J48" i="2" s="1"/>
  <c r="H31" i="2"/>
  <c r="J31" i="2" s="1"/>
  <c r="Q43" i="2"/>
  <c r="R43" i="2"/>
  <c r="Q44" i="2"/>
  <c r="R44" i="2"/>
  <c r="Q45" i="2"/>
  <c r="R45" i="2"/>
  <c r="Q46" i="2"/>
  <c r="R46" i="2"/>
  <c r="Q47" i="2"/>
  <c r="R47" i="2"/>
  <c r="Q48" i="2"/>
  <c r="R48" i="2"/>
  <c r="Q49" i="2"/>
  <c r="R49" i="2"/>
  <c r="Q56" i="2"/>
  <c r="R56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E3" i="3" a="1"/>
  <c r="E3" i="3" s="1"/>
  <c r="Q7" i="2" s="1"/>
  <c r="J27" i="2" l="1"/>
  <c r="J18" i="2"/>
  <c r="J21" i="2"/>
  <c r="J23" i="2"/>
  <c r="J47" i="2"/>
  <c r="J9" i="2"/>
  <c r="S9" i="2" s="1"/>
  <c r="O9" i="2" s="1"/>
  <c r="J37" i="2"/>
  <c r="J46" i="2"/>
  <c r="S46" i="2" s="1"/>
  <c r="S47" i="2"/>
  <c r="O47" i="2" s="1"/>
  <c r="S56" i="2"/>
  <c r="O56" i="2" s="1"/>
  <c r="S49" i="2"/>
  <c r="O49" i="2" s="1"/>
  <c r="S48" i="2"/>
  <c r="S44" i="2"/>
  <c r="O44" i="2" s="1"/>
  <c r="S43" i="2"/>
  <c r="S45" i="2"/>
  <c r="O45" i="2" s="1"/>
  <c r="S24" i="2" l="1"/>
  <c r="O24" i="2" s="1"/>
  <c r="S16" i="2"/>
  <c r="O16" i="2" s="1"/>
  <c r="S40" i="2"/>
  <c r="O40" i="2" s="1"/>
  <c r="S31" i="2"/>
  <c r="O31" i="2" s="1"/>
  <c r="S12" i="2"/>
  <c r="O12" i="2" s="1"/>
  <c r="S19" i="2"/>
  <c r="O19" i="2" s="1"/>
  <c r="S35" i="2"/>
  <c r="O35" i="2" s="1"/>
  <c r="S26" i="2"/>
  <c r="O26" i="2" s="1"/>
  <c r="S8" i="2"/>
  <c r="O8" i="2" s="1"/>
  <c r="S18" i="2"/>
  <c r="O18" i="2" s="1"/>
  <c r="S42" i="2"/>
  <c r="O42" i="2" s="1"/>
  <c r="S33" i="2"/>
  <c r="O33" i="2" s="1"/>
  <c r="S34" i="2"/>
  <c r="O34" i="2" s="1"/>
  <c r="S36" i="2"/>
  <c r="O36" i="2" s="1"/>
  <c r="S11" i="2"/>
  <c r="O11" i="2" s="1"/>
  <c r="S25" i="2"/>
  <c r="O25" i="2" s="1"/>
  <c r="S17" i="2"/>
  <c r="O17" i="2" s="1"/>
  <c r="S41" i="2"/>
  <c r="O41" i="2" s="1"/>
  <c r="S32" i="2"/>
  <c r="O32" i="2" s="1"/>
  <c r="S15" i="2"/>
  <c r="O15" i="2" s="1"/>
  <c r="S22" i="2"/>
  <c r="O22" i="2" s="1"/>
  <c r="S14" i="2"/>
  <c r="O14" i="2" s="1"/>
  <c r="S38" i="2"/>
  <c r="O38" i="2" s="1"/>
  <c r="S29" i="2"/>
  <c r="O29" i="2" s="1"/>
  <c r="S21" i="2"/>
  <c r="O21" i="2" s="1"/>
  <c r="S13" i="2"/>
  <c r="O13" i="2" s="1"/>
  <c r="S37" i="2"/>
  <c r="O37" i="2" s="1"/>
  <c r="S28" i="2"/>
  <c r="O28" i="2" s="1"/>
  <c r="S23" i="2"/>
  <c r="O23" i="2" s="1"/>
  <c r="S30" i="2"/>
  <c r="O30" i="2" s="1"/>
  <c r="S27" i="2"/>
  <c r="O27" i="2" s="1"/>
  <c r="S39" i="2"/>
  <c r="O39" i="2" s="1"/>
  <c r="S20" i="2"/>
  <c r="O20" i="2" s="1"/>
  <c r="S10" i="2"/>
  <c r="O10" i="2" s="1"/>
  <c r="S7" i="2"/>
  <c r="O7" i="2" s="1"/>
  <c r="O57" i="2" l="1"/>
  <c r="B8" i="4" a="1"/>
  <c r="B8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<sst xmlns="http://schemas.openxmlformats.org/spreadsheetml/2006/main" count="1074" uniqueCount="310">
  <si>
    <t>[1]</t>
  </si>
  <si>
    <t>[2]</t>
  </si>
  <si>
    <t>[3]</t>
  </si>
  <si>
    <t>[4]</t>
  </si>
  <si>
    <t>[5]</t>
  </si>
  <si>
    <t>[6]</t>
  </si>
  <si>
    <t>[7]</t>
  </si>
  <si>
    <t>[8]</t>
  </si>
  <si>
    <t>Company</t>
  </si>
  <si>
    <t>Ticker</t>
  </si>
  <si>
    <t>Pass Screen?</t>
  </si>
  <si>
    <t>Alliant Energy Corporation</t>
  </si>
  <si>
    <t>LNT</t>
  </si>
  <si>
    <t>Yes</t>
  </si>
  <si>
    <t>No</t>
  </si>
  <si>
    <t>American Electric Power Company, Inc.</t>
  </si>
  <si>
    <t>AEP</t>
  </si>
  <si>
    <t>Duke Energy Corporation</t>
  </si>
  <si>
    <t>DUK</t>
  </si>
  <si>
    <t>Entergy Corporation</t>
  </si>
  <si>
    <t>ETR</t>
  </si>
  <si>
    <t xml:space="preserve">Evergy, Inc. </t>
  </si>
  <si>
    <t>EVRG</t>
  </si>
  <si>
    <t>Exelon Corporation</t>
  </si>
  <si>
    <t>EXC</t>
  </si>
  <si>
    <t>NextEra Energy, Inc.</t>
  </si>
  <si>
    <t>NEE</t>
  </si>
  <si>
    <t>OGE</t>
  </si>
  <si>
    <t>Pinnacle West Capital Corporation</t>
  </si>
  <si>
    <t>PNW</t>
  </si>
  <si>
    <t>Portland General Electric Company</t>
  </si>
  <si>
    <t>POR</t>
  </si>
  <si>
    <t>ALLETE, Inc.</t>
  </si>
  <si>
    <t>ALE</t>
  </si>
  <si>
    <t>Ameren Corporation</t>
  </si>
  <si>
    <t>AEE</t>
  </si>
  <si>
    <t>Edison International</t>
  </si>
  <si>
    <t>EIX</t>
  </si>
  <si>
    <t>Hawaiian Electric Industries, Inc.</t>
  </si>
  <si>
    <t>HE</t>
  </si>
  <si>
    <t>IDACORP, Inc.</t>
  </si>
  <si>
    <t>IDA</t>
  </si>
  <si>
    <t>Xcel Energy Inc.</t>
  </si>
  <si>
    <t>XEL</t>
  </si>
  <si>
    <t>Avista Corporation</t>
  </si>
  <si>
    <t>AVA</t>
  </si>
  <si>
    <t>Black Hills Corporation</t>
  </si>
  <si>
    <t>BKH</t>
  </si>
  <si>
    <t>CenterPoint Energy, Inc.</t>
  </si>
  <si>
    <t>CNP</t>
  </si>
  <si>
    <t>CMS Energy Corporation</t>
  </si>
  <si>
    <t>CMS</t>
  </si>
  <si>
    <t>Consolidated Edison, Inc.</t>
  </si>
  <si>
    <t>ED</t>
  </si>
  <si>
    <t>Dominion Resources, Inc.</t>
  </si>
  <si>
    <t>D</t>
  </si>
  <si>
    <t>DTE Energy Company</t>
  </si>
  <si>
    <t>DTE</t>
  </si>
  <si>
    <t>Eversource Energy</t>
  </si>
  <si>
    <t>ES</t>
  </si>
  <si>
    <t>FirstEnergy Corporation</t>
  </si>
  <si>
    <t>FE</t>
  </si>
  <si>
    <t>MGE Energy, Inc.</t>
  </si>
  <si>
    <t>MGEE</t>
  </si>
  <si>
    <t>NorthWestern Corporation</t>
  </si>
  <si>
    <t>NWE</t>
  </si>
  <si>
    <t>Otter Tail Corporation</t>
  </si>
  <si>
    <t>OTTR</t>
  </si>
  <si>
    <t>PG&amp;E Corporation</t>
  </si>
  <si>
    <t>PCG</t>
  </si>
  <si>
    <t>PPL Corporation</t>
  </si>
  <si>
    <t>PPL</t>
  </si>
  <si>
    <t>Public Service Enterprise Group Inc.</t>
  </si>
  <si>
    <t>PEG</t>
  </si>
  <si>
    <t>Sempra Energy</t>
  </si>
  <si>
    <t>SRE</t>
  </si>
  <si>
    <t>Southern Company</t>
  </si>
  <si>
    <t>SO</t>
  </si>
  <si>
    <t>Wisconsin Energy Corporation</t>
  </si>
  <si>
    <t>WEC</t>
  </si>
  <si>
    <t>Notes:</t>
  </si>
  <si>
    <t>OGE Energy Corporation</t>
  </si>
  <si>
    <t>TXNM Energy, Inc.</t>
  </si>
  <si>
    <t>Unitil Corporation</t>
  </si>
  <si>
    <t>TXNM</t>
  </si>
  <si>
    <t>UTL</t>
  </si>
  <si>
    <t xml:space="preserve">% Regulated Operating Revenue of Total Revenue 
&gt; 60% </t>
  </si>
  <si>
    <t xml:space="preserve">% Regulated Electric Income of Total Regulated Income 
&gt; 80% </t>
  </si>
  <si>
    <t xml:space="preserve">% Regulated Electric Revenue of Total Regulated Revenue 
&gt; 80% </t>
  </si>
  <si>
    <t xml:space="preserve">% Regulated Operating Income of Total Income 
&gt; 60% </t>
  </si>
  <si>
    <t>Generation Assets Included in Rate Base</t>
  </si>
  <si>
    <t>Own Regulated Nuclear and/or Hydroelectric Generation</t>
  </si>
  <si>
    <t>S&amp;P/Moody's Credit Rating Of At Least BBB-/Baa3</t>
  </si>
  <si>
    <t>BBB</t>
  </si>
  <si>
    <t>A-</t>
  </si>
  <si>
    <t>BBB+</t>
  </si>
  <si>
    <t>B-</t>
  </si>
  <si>
    <t>AA-</t>
  </si>
  <si>
    <t>BB</t>
  </si>
  <si>
    <t>[9]</t>
  </si>
  <si>
    <t>[10</t>
  </si>
  <si>
    <t>[11]</t>
  </si>
  <si>
    <t>[12]</t>
  </si>
  <si>
    <t xml:space="preserve">[2] - [5] Source: S&amp;P Capital IQ </t>
  </si>
  <si>
    <t>S&amp;P</t>
  </si>
  <si>
    <t>Include?</t>
  </si>
  <si>
    <t>AAA</t>
  </si>
  <si>
    <t>AA+</t>
  </si>
  <si>
    <t>AA</t>
  </si>
  <si>
    <t>A+</t>
  </si>
  <si>
    <t>A</t>
  </si>
  <si>
    <t>BBB-</t>
  </si>
  <si>
    <t>BB+</t>
  </si>
  <si>
    <t>BB-</t>
  </si>
  <si>
    <t>B+</t>
  </si>
  <si>
    <t>B</t>
  </si>
  <si>
    <t>CCC+</t>
  </si>
  <si>
    <t>CCC</t>
  </si>
  <si>
    <t>CCC-</t>
  </si>
  <si>
    <t>CC</t>
  </si>
  <si>
    <t>C</t>
  </si>
  <si>
    <t>NR</t>
  </si>
  <si>
    <t>Moody's</t>
  </si>
  <si>
    <t>Aaa</t>
  </si>
  <si>
    <t>AA1</t>
  </si>
  <si>
    <t>Aa2</t>
  </si>
  <si>
    <t>Aa3</t>
  </si>
  <si>
    <t>A1</t>
  </si>
  <si>
    <t>A2</t>
  </si>
  <si>
    <t>A3</t>
  </si>
  <si>
    <t>Baa1</t>
  </si>
  <si>
    <t>Baa2</t>
  </si>
  <si>
    <t>Baa3</t>
  </si>
  <si>
    <t>Ba1</t>
  </si>
  <si>
    <t>Ba2</t>
  </si>
  <si>
    <t>Ba3</t>
  </si>
  <si>
    <t>B1</t>
  </si>
  <si>
    <t>B2</t>
  </si>
  <si>
    <t>B3</t>
  </si>
  <si>
    <t>Caa1</t>
  </si>
  <si>
    <t>Caa2</t>
  </si>
  <si>
    <t>Caa3</t>
  </si>
  <si>
    <t>Ca</t>
  </si>
  <si>
    <t>Include</t>
  </si>
  <si>
    <t>n/a</t>
  </si>
  <si>
    <t>Algonquin Power &amp; Utilities Corporation</t>
  </si>
  <si>
    <t>AQN</t>
  </si>
  <si>
    <t>AltaGas Limited</t>
  </si>
  <si>
    <t>ALA</t>
  </si>
  <si>
    <t>Canadian Utilities Limited</t>
  </si>
  <si>
    <t>CU</t>
  </si>
  <si>
    <t>Emera Inc.</t>
  </si>
  <si>
    <t>EMA</t>
  </si>
  <si>
    <t>Enbridge Inc.</t>
  </si>
  <si>
    <t>ENB</t>
  </si>
  <si>
    <t>Fortis Inc.</t>
  </si>
  <si>
    <t>FTS</t>
  </si>
  <si>
    <t>Hydro One Limited</t>
  </si>
  <si>
    <t>H</t>
  </si>
  <si>
    <t>TC Energy Corporation</t>
  </si>
  <si>
    <t>TRP</t>
  </si>
  <si>
    <t>Other</t>
  </si>
  <si>
    <t>Oil</t>
  </si>
  <si>
    <t>Regulated</t>
  </si>
  <si>
    <t>Gas</t>
  </si>
  <si>
    <t>Water</t>
  </si>
  <si>
    <t>NorthWestern Energy Group, Inc.</t>
  </si>
  <si>
    <t>WEC Energy Group, Inc.</t>
  </si>
  <si>
    <t>Dominion Energy, Inc.</t>
  </si>
  <si>
    <t>The Southern Company</t>
  </si>
  <si>
    <t>Emera Incorporated</t>
  </si>
  <si>
    <t>Evergy, Inc.</t>
  </si>
  <si>
    <t>AltaGas Ltd.</t>
  </si>
  <si>
    <t>Public Service Enterprise Group Incorporated</t>
  </si>
  <si>
    <t>Algonquin Power &amp; Utilities Corp.</t>
  </si>
  <si>
    <t>Sempra</t>
  </si>
  <si>
    <t>OGE Energy Corp.</t>
  </si>
  <si>
    <t>FirstEnergy Corp.</t>
  </si>
  <si>
    <t>S&amp;P Lookup Name</t>
  </si>
  <si>
    <t>Regulated Generation Operating Capacity (MW)</t>
  </si>
  <si>
    <t>Regulated Hydro Generation Operating Capacity (MW)</t>
  </si>
  <si>
    <t>Regulated Nuclear Generation Operating Capacity (MW)</t>
  </si>
  <si>
    <t>COUNT</t>
  </si>
  <si>
    <t>Regulated Electricity Distribution</t>
  </si>
  <si>
    <t>Regulated Gas Distribution</t>
  </si>
  <si>
    <t>Regulated Water Reclamation/Distribution</t>
  </si>
  <si>
    <t>Revenue</t>
  </si>
  <si>
    <t>Electric</t>
  </si>
  <si>
    <t>Midstream</t>
  </si>
  <si>
    <t>Other Revenue</t>
  </si>
  <si>
    <t>Average % (out of Regulated)</t>
  </si>
  <si>
    <t>Segment Regulated?</t>
  </si>
  <si>
    <t>Unregulated</t>
  </si>
  <si>
    <t>Line Item</t>
  </si>
  <si>
    <t>Operating Segments</t>
  </si>
  <si>
    <t>Operating Income</t>
  </si>
  <si>
    <t>Average % (out of All)</t>
  </si>
  <si>
    <t>3-Year Avg</t>
  </si>
  <si>
    <t>Service Type</t>
  </si>
  <si>
    <t>Corporate/Other</t>
  </si>
  <si>
    <t>Average % Reg vs Unreg</t>
  </si>
  <si>
    <t>RegulatedRevenue</t>
  </si>
  <si>
    <t>UnregulatedRevenue</t>
  </si>
  <si>
    <t>RegulatedOperating Income</t>
  </si>
  <si>
    <t>UnregulatedOperating Income</t>
  </si>
  <si>
    <t>[1] Source: Bloomberg Professional, as of May 31, 2025</t>
  </si>
  <si>
    <t>Percent of Generation Assets that are Nuclear</t>
  </si>
  <si>
    <t>Percent of Generation Assets that are Hydroelectric</t>
  </si>
  <si>
    <t>ATCO Energy Electricity</t>
  </si>
  <si>
    <t>ATCO Energy Natural Gas</t>
  </si>
  <si>
    <t>ATCO Energy Intersegment Eliminations</t>
  </si>
  <si>
    <t>ATCO EnPower</t>
  </si>
  <si>
    <t>ATCO Australia</t>
  </si>
  <si>
    <t>Intersegment Eliminations</t>
  </si>
  <si>
    <t>[13]</t>
  </si>
  <si>
    <t>[7] Equals [5] / [3]</t>
  </si>
  <si>
    <t>[6] Equals [4] / [3]</t>
  </si>
  <si>
    <t>[8] Equals "Yes" if ([6] + [7]) &gt; 5%</t>
  </si>
  <si>
    <t>[9] - [12] Source: Form 10-Ks for 2022, 2023, &amp; 2024 (three-year average) for US companies; Annual Reports for Canadian companies</t>
  </si>
  <si>
    <t>[13] Equals "Yes" if Screens [1] - [8] are passed</t>
  </si>
  <si>
    <t>Florida Electric Utility</t>
  </si>
  <si>
    <t>Canadian Electric Utilities</t>
  </si>
  <si>
    <t>Gas Utilities and Infrastructure</t>
  </si>
  <si>
    <t>Other Electric Utilities</t>
  </si>
  <si>
    <t>Inter-Segment Adjustments</t>
  </si>
  <si>
    <t>Source:</t>
  </si>
  <si>
    <t>Emera Inc. Q4 2024 Financial Statements, pp.28</t>
  </si>
  <si>
    <t xml:space="preserve"> 2024 ENB Annual Report, pp. 129, 133, 134</t>
  </si>
  <si>
    <t>2024 CU Annual Report, p. 88</t>
  </si>
  <si>
    <t>2024 ALA Financial Statements &amp; MD&amp;A, p. 24</t>
  </si>
  <si>
    <t>Liquids Pipelines</t>
  </si>
  <si>
    <t>Gas Transmission</t>
  </si>
  <si>
    <t>Gas Distribution &amp; Storage</t>
  </si>
  <si>
    <t>Renewable Power Generation</t>
  </si>
  <si>
    <t>Eliminations &amp; Other</t>
  </si>
  <si>
    <t>Fortis Inc. 2024 Q4 &amp; Annual Results, p. 19</t>
  </si>
  <si>
    <t>Fortis Inc. 2023 Q4 &amp; Annual Results, p. 20</t>
  </si>
  <si>
    <t>Fortis Inc. 2022 Q4 &amp; Annual Results, p. 20</t>
  </si>
  <si>
    <t>Corporate</t>
  </si>
  <si>
    <t>AQNElectricRegulatedRevenue</t>
  </si>
  <si>
    <t>AQNGasRegulatedRevenue</t>
  </si>
  <si>
    <t>AQNWaterRegulatedRevenue</t>
  </si>
  <si>
    <t>AQNElectricRegulatedOperating Income</t>
  </si>
  <si>
    <t>AQNGasRegulatedOperating Income</t>
  </si>
  <si>
    <t>ALAElectricRegulatedRevenue</t>
  </si>
  <si>
    <t>ALAGasRegulatedRevenue</t>
  </si>
  <si>
    <t>CUElectricRegulatedRevenue</t>
  </si>
  <si>
    <t>CUGasRegulatedRevenue</t>
  </si>
  <si>
    <t>3-Year Avg of Regulated</t>
  </si>
  <si>
    <t>ALAElectricRegulatedOperating Income</t>
  </si>
  <si>
    <t>ALAGasRegulatedOperating Income</t>
  </si>
  <si>
    <t>CUElectricRegulatedOperating Income</t>
  </si>
  <si>
    <t>CUGasRegulatedOperating Income</t>
  </si>
  <si>
    <t>EMAElectricRegulatedRevenue</t>
  </si>
  <si>
    <t>EMAGasRegulatedRevenue</t>
  </si>
  <si>
    <t>EMAElectricRegulatedOperating Income</t>
  </si>
  <si>
    <t>EMAGasRegulatedOperating Income</t>
  </si>
  <si>
    <t>ENBOilRegulatedRevenue</t>
  </si>
  <si>
    <t>ENBGasRegulatedRevenue</t>
  </si>
  <si>
    <t>ENBElectricRegulatedRevenue</t>
  </si>
  <si>
    <t>ENBOilRegulatedOperating Income</t>
  </si>
  <si>
    <t>ENBGasRegulatedOperating Income</t>
  </si>
  <si>
    <t>ENBElectricRegulatedOperating Income</t>
  </si>
  <si>
    <t>FTSElectricRegulatedRevenue</t>
  </si>
  <si>
    <t>FTSGasRegulatedRevenue</t>
  </si>
  <si>
    <t>FTSElectricRegulatedOperating Income</t>
  </si>
  <si>
    <t>FTSGasRegulatedOperating Income</t>
  </si>
  <si>
    <t>Transmission</t>
  </si>
  <si>
    <t>Distribution</t>
  </si>
  <si>
    <t>Regulated - ITC</t>
  </si>
  <si>
    <t>Regulated - UNS Energy</t>
  </si>
  <si>
    <t>Regulated - Central Hudson</t>
  </si>
  <si>
    <t>Regulated - FortisBC Energy</t>
  </si>
  <si>
    <t>Regulated - Fortis Alberta</t>
  </si>
  <si>
    <t>Regulated - FortisBC Electric</t>
  </si>
  <si>
    <t>Regulated - Other Electric</t>
  </si>
  <si>
    <t>Non-Regulated - Energy Infrastructure</t>
  </si>
  <si>
    <t>Inter-Segment Eliminations</t>
  </si>
  <si>
    <t>Corporate &amp; Other</t>
  </si>
  <si>
    <t>HElectricRegulatedRevenue</t>
  </si>
  <si>
    <t>HElectricRegulatedOperating Income</t>
  </si>
  <si>
    <t>Hydro One Limited 2024 Annual Report p. 95</t>
  </si>
  <si>
    <t>Hydro One Limited 2023 Annual Report p. 86</t>
  </si>
  <si>
    <t>TC Energy 2024 Annual Report p. 13-14</t>
  </si>
  <si>
    <t>TC Energy 2023 Annual Report p. 15</t>
  </si>
  <si>
    <t>Canadian Natural Gas Pipelines</t>
  </si>
  <si>
    <t>US Natural Gas Pipelines</t>
  </si>
  <si>
    <t>Mexico Natural Gas Pipelines</t>
  </si>
  <si>
    <t>Liquid Pipelines</t>
  </si>
  <si>
    <t>Power and Energy Solutions</t>
  </si>
  <si>
    <t>TRPGasRegulatedRevenue</t>
  </si>
  <si>
    <t>TRPOilRegulatedRevenue</t>
  </si>
  <si>
    <t>TRPElectricRegulatedRevenue</t>
  </si>
  <si>
    <t>TRPGasRegulatedOperating Income</t>
  </si>
  <si>
    <t>TRPOilRegulatedOperating Income</t>
  </si>
  <si>
    <t>TRPElectricRegulatedOperating Income</t>
  </si>
  <si>
    <t>2024 AQN Annual Report, pp. 22, 67</t>
  </si>
  <si>
    <t>2023 AQN Annual Report, pp. 23, 74</t>
  </si>
  <si>
    <t>-------------------------------------------------------------------------------------------------------------------- ALL COMPANY DATA --------------------------------------------------------------------------------------------------------------------</t>
  </si>
  <si>
    <t>-------------------- MAIN PROXY GROUP SCREENING --------------------</t>
  </si>
  <si>
    <t>BC Hydro</t>
  </si>
  <si>
    <t>Manitoba Hydro</t>
  </si>
  <si>
    <t>Hydro Quebec</t>
  </si>
  <si>
    <t>NL Hydro</t>
  </si>
  <si>
    <t>NB Power</t>
  </si>
  <si>
    <t>Sask Power</t>
  </si>
  <si>
    <t>-</t>
  </si>
  <si>
    <t>Hydro Quebec Production</t>
  </si>
  <si>
    <t>United States</t>
  </si>
  <si>
    <t>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</si>
</sst>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sz val="11"/>
      <color theme="0" tint="-0.499984740745262"/>
      <name val="Aptos Narrow"/>
      <family val="2"/>
      <scheme val="minor"/>
    </font>
    <font>
      <i/>
      <sz val="11"/>
      <color theme="0" tint="-0.499984740745262"/>
      <name val="Aptos Narrow"/>
      <family val="2"/>
      <scheme val="minor"/>
    </font>
    <font>
      <b/>
      <i/>
      <sz val="11"/>
      <color theme="0" tint="-0.499984740745262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3" fillId="0" borderId="1" xfId="2" applyFont="1" applyBorder="1"/>
    <xf numFmtId="0" fontId="3" fillId="0" borderId="1" xfId="2" applyFont="1" applyBorder="1" applyAlignment="1">
      <alignment horizontal="center"/>
    </xf>
    <xf numFmtId="9" fontId="3" fillId="0" borderId="0" xfId="1" applyFont="1" applyFill="1" applyBorder="1" applyAlignment="1">
      <alignment horizontal="center"/>
    </xf>
    <xf numFmtId="9" fontId="3" fillId="0" borderId="2" xfId="1" applyFont="1" applyFill="1" applyBorder="1" applyAlignment="1">
      <alignment horizontal="center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3" xfId="0" applyFont="1" applyBorder="1"/>
    <xf numFmtId="0" fontId="7" fillId="0" borderId="0" xfId="0" applyFont="1"/>
    <xf numFmtId="2" fontId="6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0" fontId="5" fillId="0" borderId="0" xfId="0" applyFont="1"/>
    <xf numFmtId="2" fontId="8" fillId="0" borderId="0" xfId="0" applyNumberFormat="1" applyFont="1" applyAlignment="1">
      <alignment horizontal="centerContinuous"/>
    </xf>
    <xf numFmtId="0" fontId="8" fillId="0" borderId="0" xfId="0" quotePrefix="1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Continuous"/>
    </xf>
    <xf numFmtId="2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9" fontId="6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0" fontId="7" fillId="0" borderId="0" xfId="0" applyFont="1" applyAlignment="1">
      <alignment horizontal="left"/>
    </xf>
    <xf numFmtId="9" fontId="6" fillId="0" borderId="0" xfId="1" applyFont="1" applyAlignment="1">
      <alignment horizontal="center"/>
    </xf>
    <xf numFmtId="0" fontId="3" fillId="2" borderId="0" xfId="2" applyFont="1" applyFill="1" applyAlignment="1">
      <alignment horizontal="center"/>
    </xf>
    <xf numFmtId="0" fontId="3" fillId="0" borderId="0" xfId="2" applyFont="1" applyAlignment="1">
      <alignment horizontal="centerContinuous"/>
    </xf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2" applyFont="1" applyBorder="1" applyAlignment="1">
      <alignment horizontal="center" wrapText="1"/>
    </xf>
    <xf numFmtId="0" fontId="3" fillId="0" borderId="0" xfId="2" applyFont="1" applyAlignment="1">
      <alignment horizontal="center" wrapText="1"/>
    </xf>
    <xf numFmtId="0" fontId="3" fillId="0" borderId="0" xfId="0" applyFont="1"/>
    <xf numFmtId="0" fontId="3" fillId="0" borderId="0" xfId="3" applyFont="1" applyAlignment="1">
      <alignment horizontal="center"/>
    </xf>
    <xf numFmtId="164" fontId="3" fillId="0" borderId="0" xfId="4" applyNumberFormat="1" applyFont="1" applyFill="1" applyAlignment="1">
      <alignment horizontal="center"/>
    </xf>
    <xf numFmtId="43" fontId="3" fillId="0" borderId="0" xfId="4" applyFont="1" applyFill="1" applyAlignment="1">
      <alignment horizontal="center"/>
    </xf>
    <xf numFmtId="164" fontId="3" fillId="0" borderId="0" xfId="4" applyNumberFormat="1" applyFont="1" applyFill="1" applyBorder="1" applyAlignment="1">
      <alignment horizontal="center"/>
    </xf>
    <xf numFmtId="43" fontId="3" fillId="0" borderId="0" xfId="4" applyFont="1" applyFill="1" applyBorder="1" applyAlignment="1">
      <alignment horizontal="center"/>
    </xf>
    <xf numFmtId="0" fontId="3" fillId="0" borderId="2" xfId="0" applyFont="1" applyBorder="1"/>
    <xf numFmtId="0" fontId="3" fillId="0" borderId="2" xfId="3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164" fontId="3" fillId="0" borderId="2" xfId="4" applyNumberFormat="1" applyFont="1" applyFill="1" applyBorder="1" applyAlignment="1">
      <alignment horizontal="center"/>
    </xf>
    <xf numFmtId="43" fontId="3" fillId="0" borderId="2" xfId="4" applyFont="1" applyFill="1" applyBorder="1" applyAlignment="1">
      <alignment horizontal="center"/>
    </xf>
    <xf numFmtId="0" fontId="3" fillId="0" borderId="3" xfId="2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3" fillId="0" borderId="0" xfId="2" applyFont="1" applyAlignment="1">
      <alignment horizontal="left" wrapText="1"/>
    </xf>
    <xf numFmtId="0" fontId="3" fillId="0" borderId="0" xfId="2" quotePrefix="1" applyFont="1" applyAlignment="1">
      <alignment horizontal="centerContinuous"/>
    </xf>
    <xf numFmtId="0" fontId="3" fillId="0" borderId="0" xfId="0" quotePrefix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64" fontId="3" fillId="2" borderId="0" xfId="4" applyNumberFormat="1" applyFont="1" applyFill="1" applyBorder="1" applyAlignment="1">
      <alignment horizontal="center"/>
    </xf>
    <xf numFmtId="43" fontId="3" fillId="2" borderId="0" xfId="4" applyFont="1" applyFill="1" applyBorder="1" applyAlignment="1">
      <alignment horizontal="center"/>
    </xf>
    <xf numFmtId="164" fontId="3" fillId="2" borderId="2" xfId="4" applyNumberFormat="1" applyFont="1" applyFill="1" applyBorder="1" applyAlignment="1">
      <alignment horizontal="center"/>
    </xf>
    <xf numFmtId="43" fontId="3" fillId="2" borderId="2" xfId="4" applyFont="1" applyFill="1" applyBorder="1" applyAlignment="1">
      <alignment horizontal="center"/>
    </xf>
    <xf numFmtId="9" fontId="3" fillId="2" borderId="0" xfId="1" applyFont="1" applyFill="1" applyBorder="1" applyAlignment="1">
      <alignment horizontal="center"/>
    </xf>
    <xf numFmtId="9" fontId="3" fillId="3" borderId="2" xfId="1" applyFont="1" applyFill="1" applyBorder="1" applyAlignment="1">
      <alignment horizontal="center"/>
    </xf>
    <xf numFmtId="0" fontId="0" fillId="0" borderId="7" xfId="0" applyBorder="1"/>
  </cellXfs>
  <cellStyles count="6">
    <cellStyle name="Comma" xfId="4" builtinId="3"/>
    <cellStyle name="Normal" xfId="0" builtinId="0"/>
    <cellStyle name="Normal 195" xfId="2" xr:uid="{8C3AB853-0606-4980-9B84-59F8194DFF19}"/>
    <cellStyle name="Normal 6" xfId="3" xr:uid="{64AD4CE2-706C-4725-8479-BD758EBC7AEC}"/>
    <cellStyle name="Percent" xfId="1" builtinId="5"/>
    <cellStyle name="Percent 2" xfId="5" xr:uid="{CAAA60A0-49CA-4769-A454-3F7C7FEB0FB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3E73-0F48-4F59-9684-A848529EB0EC}">
  <sheetPr codeName="Sheet1"/>
  <dimension ref="B5:K19"/>
  <sheetViews>
    <sheetView tabSelected="1" workbookViewId="0">
      <selection activeCell="K22" sqref="K22"/>
    </sheetView>
  </sheetViews>
  <sheetFormatPr defaultRowHeight="14.5" x14ac:dyDescent="0.35"/>
  <cols>
    <col min="1" max="1" width="2.54296875" customWidth="1"/>
    <col min="2" max="2" width="33.54296875" bestFit="1" customWidth="1"/>
    <col min="3" max="3" width="9" style="7"/>
    <col min="4" max="4" width="2.54296875" customWidth="1"/>
    <col min="10" max="10" width="31.81640625" bestFit="1" customWidth="1"/>
    <col min="11" max="11" width="9.453125" bestFit="1" customWidth="1"/>
  </cols>
  <sheetData>
    <row r="5" spans="2:11" x14ac:dyDescent="0.35">
      <c r="B5" s="5" t="s">
        <v>182</v>
      </c>
      <c r="C5" s="9">
        <f>COUNTA(_xlfn.ANCHORARRAY(B8))</f>
        <v>12</v>
      </c>
    </row>
    <row r="6" spans="2:11" ht="15" thickBot="1" x14ac:dyDescent="0.4">
      <c r="B6" s="5"/>
      <c r="C6" s="9"/>
      <c r="J6" s="66" t="s">
        <v>308</v>
      </c>
      <c r="K6" s="66" t="s">
        <v>309</v>
      </c>
    </row>
    <row r="7" spans="2:11" x14ac:dyDescent="0.35">
      <c r="B7" s="1" t="s">
        <v>8</v>
      </c>
      <c r="C7" s="2" t="s">
        <v>9</v>
      </c>
      <c r="J7" s="66" t="str">
        <f>B8</f>
        <v>Ameren Corporation</v>
      </c>
      <c r="K7" s="66" t="str">
        <f>B17</f>
        <v>BC Hydro</v>
      </c>
    </row>
    <row r="8" spans="2:11" x14ac:dyDescent="0.35">
      <c r="B8" t="str" cm="1">
        <f t="array" ref="B8:B19">_xlfn._xlws.FILTER('Proxy Group Screen'!$A$7:$A$56, 'Proxy Group Screen'!$O$7:$O$56="Yes")</f>
        <v>Ameren Corporation</v>
      </c>
      <c r="C8" s="7" t="s">
        <v>35</v>
      </c>
      <c r="J8" s="66" t="str">
        <f t="shared" ref="J8:J15" si="0">B9</f>
        <v>Dominion Resources, Inc.</v>
      </c>
      <c r="K8" s="66" t="str">
        <f t="shared" ref="K8:K9" si="1">B18</f>
        <v>NL Hydro</v>
      </c>
    </row>
    <row r="9" spans="2:11" x14ac:dyDescent="0.35">
      <c r="B9" t="str">
        <v>Dominion Resources, Inc.</v>
      </c>
      <c r="C9" s="7" t="s">
        <v>55</v>
      </c>
      <c r="J9" s="66" t="str">
        <f t="shared" si="0"/>
        <v>Duke Energy Corporation</v>
      </c>
      <c r="K9" s="66" t="str">
        <f t="shared" si="1"/>
        <v>NB Power</v>
      </c>
    </row>
    <row r="10" spans="2:11" x14ac:dyDescent="0.35">
      <c r="B10" t="str">
        <v>Duke Energy Corporation</v>
      </c>
      <c r="C10" s="7" t="s">
        <v>18</v>
      </c>
      <c r="J10" s="66" t="str">
        <f t="shared" si="0"/>
        <v>Edison International</v>
      </c>
      <c r="K10" s="66"/>
    </row>
    <row r="11" spans="2:11" x14ac:dyDescent="0.35">
      <c r="B11" t="str">
        <v>Edison International</v>
      </c>
      <c r="C11" s="7" t="s">
        <v>37</v>
      </c>
      <c r="J11" s="66" t="str">
        <f t="shared" si="0"/>
        <v>Entergy Corporation</v>
      </c>
      <c r="K11" s="66"/>
    </row>
    <row r="12" spans="2:11" x14ac:dyDescent="0.35">
      <c r="B12" t="str">
        <v>Entergy Corporation</v>
      </c>
      <c r="C12" s="7" t="s">
        <v>20</v>
      </c>
      <c r="J12" s="66" t="str">
        <f t="shared" si="0"/>
        <v>IDACORP, Inc.</v>
      </c>
      <c r="K12" s="66"/>
    </row>
    <row r="13" spans="2:11" x14ac:dyDescent="0.35">
      <c r="B13" t="str">
        <v>IDACORP, Inc.</v>
      </c>
      <c r="C13" s="7" t="s">
        <v>41</v>
      </c>
      <c r="J13" s="66" t="str">
        <f t="shared" si="0"/>
        <v>Pinnacle West Capital Corporation</v>
      </c>
      <c r="K13" s="66"/>
    </row>
    <row r="14" spans="2:11" x14ac:dyDescent="0.35">
      <c r="B14" t="str">
        <v>Pinnacle West Capital Corporation</v>
      </c>
      <c r="C14" s="7" t="s">
        <v>29</v>
      </c>
      <c r="J14" s="66" t="str">
        <f t="shared" si="0"/>
        <v>TXNM Energy, Inc.</v>
      </c>
      <c r="K14" s="66"/>
    </row>
    <row r="15" spans="2:11" x14ac:dyDescent="0.35">
      <c r="B15" t="str">
        <v>TXNM Energy, Inc.</v>
      </c>
      <c r="C15" s="7" t="s">
        <v>84</v>
      </c>
      <c r="J15" s="66" t="str">
        <f t="shared" si="0"/>
        <v>Southern Company</v>
      </c>
      <c r="K15" s="66"/>
    </row>
    <row r="16" spans="2:11" x14ac:dyDescent="0.35">
      <c r="B16" t="str">
        <v>Southern Company</v>
      </c>
      <c r="C16" s="7" t="s">
        <v>77</v>
      </c>
    </row>
    <row r="17" spans="2:2" x14ac:dyDescent="0.35">
      <c r="B17" t="str">
        <v>BC Hydro</v>
      </c>
    </row>
    <row r="18" spans="2:2" x14ac:dyDescent="0.35">
      <c r="B18" t="str">
        <v>NL Hydro</v>
      </c>
    </row>
    <row r="19" spans="2:2" x14ac:dyDescent="0.35">
      <c r="B19" t="str">
        <v>NB Power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78991-7A76-4B04-BCC4-E84B83C356A5}">
  <sheetPr codeName="Sheet3">
    <tabColor rgb="FFFFFF00"/>
  </sheetPr>
  <dimension ref="A2:Y72"/>
  <sheetViews>
    <sheetView topLeftCell="A3" zoomScale="85" zoomScaleNormal="85" workbookViewId="0">
      <pane ySplit="3" topLeftCell="A21" activePane="bottomLeft" state="frozen"/>
      <selection activeCell="A3" sqref="A3"/>
      <selection pane="bottomLeft" activeCell="J56" sqref="J56"/>
    </sheetView>
  </sheetViews>
  <sheetFormatPr defaultColWidth="9.1796875" defaultRowHeight="14.5" x14ac:dyDescent="0.35"/>
  <cols>
    <col min="1" max="1" width="32.7265625" style="31" customWidth="1"/>
    <col min="2" max="2" width="10.7265625" style="31" customWidth="1"/>
    <col min="3" max="3" width="10.7265625" style="32" customWidth="1"/>
    <col min="4" max="4" width="10.7265625" style="31" customWidth="1"/>
    <col min="5" max="5" width="10.7265625" style="32" customWidth="1"/>
    <col min="6" max="7" width="11.7265625" style="32" customWidth="1"/>
    <col min="8" max="8" width="11.7265625" style="31" customWidth="1"/>
    <col min="9" max="9" width="11.7265625" style="32" customWidth="1"/>
    <col min="10" max="10" width="11.7265625" style="31" customWidth="1"/>
    <col min="11" max="14" width="10.7265625" style="31" customWidth="1"/>
    <col min="15" max="15" width="10.7265625" style="32" customWidth="1"/>
    <col min="16" max="16" width="2.54296875" style="48" customWidth="1"/>
    <col min="17" max="17" width="9" style="49" customWidth="1"/>
    <col min="18" max="23" width="9" style="49"/>
    <col min="24" max="24" width="2.54296875" style="48" customWidth="1"/>
    <col min="25" max="25" width="34" style="48" bestFit="1" customWidth="1"/>
    <col min="26" max="16384" width="9.1796875" style="48"/>
  </cols>
  <sheetData>
    <row r="2" spans="1:25" x14ac:dyDescent="0.35">
      <c r="A2" s="52" t="s">
        <v>298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Q2" s="53" t="s">
        <v>299</v>
      </c>
      <c r="R2" s="54"/>
      <c r="S2" s="54"/>
      <c r="T2" s="54"/>
      <c r="U2" s="54"/>
      <c r="V2" s="54"/>
      <c r="W2" s="54"/>
    </row>
    <row r="4" spans="1:25" ht="15" thickBot="1" x14ac:dyDescent="0.4">
      <c r="C4" s="32" t="s">
        <v>0</v>
      </c>
      <c r="D4" s="32" t="s">
        <v>1</v>
      </c>
      <c r="E4" s="32" t="s">
        <v>2</v>
      </c>
      <c r="F4" s="32" t="s">
        <v>3</v>
      </c>
      <c r="G4" s="32" t="s">
        <v>4</v>
      </c>
      <c r="H4" s="32" t="s">
        <v>5</v>
      </c>
      <c r="I4" s="32" t="s">
        <v>6</v>
      </c>
      <c r="J4" s="32" t="s">
        <v>7</v>
      </c>
      <c r="K4" s="32" t="s">
        <v>99</v>
      </c>
      <c r="L4" s="32" t="s">
        <v>100</v>
      </c>
      <c r="M4" s="32" t="s">
        <v>101</v>
      </c>
      <c r="N4" s="33" t="s">
        <v>102</v>
      </c>
      <c r="O4" s="33" t="s">
        <v>214</v>
      </c>
      <c r="T4" s="50">
        <v>0.6</v>
      </c>
      <c r="U4" s="50">
        <v>0.6</v>
      </c>
      <c r="V4" s="50">
        <v>0.8</v>
      </c>
      <c r="W4" s="50">
        <v>0.8</v>
      </c>
    </row>
    <row r="5" spans="1:25" ht="101" x14ac:dyDescent="0.35">
      <c r="A5" s="1" t="s">
        <v>8</v>
      </c>
      <c r="B5" s="2" t="s">
        <v>9</v>
      </c>
      <c r="C5" s="34" t="s">
        <v>92</v>
      </c>
      <c r="D5" s="34" t="s">
        <v>90</v>
      </c>
      <c r="E5" s="34" t="s">
        <v>179</v>
      </c>
      <c r="F5" s="34" t="s">
        <v>180</v>
      </c>
      <c r="G5" s="34" t="s">
        <v>181</v>
      </c>
      <c r="H5" s="34" t="s">
        <v>207</v>
      </c>
      <c r="I5" s="34" t="s">
        <v>206</v>
      </c>
      <c r="J5" s="34" t="s">
        <v>91</v>
      </c>
      <c r="K5" s="34" t="s">
        <v>86</v>
      </c>
      <c r="L5" s="34" t="s">
        <v>89</v>
      </c>
      <c r="M5" s="34" t="s">
        <v>88</v>
      </c>
      <c r="N5" s="34" t="s">
        <v>87</v>
      </c>
      <c r="O5" s="34" t="s">
        <v>10</v>
      </c>
      <c r="Q5" s="34" t="s">
        <v>92</v>
      </c>
      <c r="R5" s="34" t="s">
        <v>90</v>
      </c>
      <c r="S5" s="34" t="s">
        <v>91</v>
      </c>
      <c r="T5" s="34" t="s">
        <v>86</v>
      </c>
      <c r="U5" s="34" t="s">
        <v>89</v>
      </c>
      <c r="V5" s="34" t="s">
        <v>88</v>
      </c>
      <c r="W5" s="34" t="s">
        <v>87</v>
      </c>
      <c r="Y5" s="51" t="s">
        <v>178</v>
      </c>
    </row>
    <row r="6" spans="1:25" x14ac:dyDescent="0.35">
      <c r="C6" s="35"/>
      <c r="D6" s="32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25" x14ac:dyDescent="0.35">
      <c r="A7" s="36" t="s">
        <v>32</v>
      </c>
      <c r="B7" s="37" t="s">
        <v>33</v>
      </c>
      <c r="C7" s="32" t="s">
        <v>93</v>
      </c>
      <c r="D7" s="32" t="s">
        <v>13</v>
      </c>
      <c r="E7" s="38">
        <v>1678.7368099999999</v>
      </c>
      <c r="F7" s="39">
        <v>125.69999999999999</v>
      </c>
      <c r="G7" s="39">
        <v>0</v>
      </c>
      <c r="H7" s="3">
        <f>IFERROR(F7/E7, 0)</f>
        <v>7.487772904675867E-2</v>
      </c>
      <c r="I7" s="3">
        <f>IFERROR(G7/E7, 0)</f>
        <v>0</v>
      </c>
      <c r="J7" s="32" t="str">
        <f>IF((H7+I7)&gt;15%,"Yes","No")</f>
        <v>No</v>
      </c>
      <c r="K7" s="3">
        <v>0.75760438187152113</v>
      </c>
      <c r="L7" s="3">
        <v>1</v>
      </c>
      <c r="M7" s="3">
        <v>0.97760204454268251</v>
      </c>
      <c r="N7" s="3">
        <v>0.98420015014885165</v>
      </c>
      <c r="O7" s="32" t="str">
        <f t="shared" ref="O7:O42" si="0">IF(SUM(Q7:W7)=7, "Yes", "No")</f>
        <v>No</v>
      </c>
      <c r="Q7" s="49">
        <f>IF(ISNUMBER(MATCH(C7, 'Credit Ratings'!$E$3:$E$48, 0)), 1, 0)</f>
        <v>1</v>
      </c>
      <c r="R7" s="49">
        <f t="shared" ref="R7:R49" si="1">IF(D7="Yes", 1, 0)</f>
        <v>1</v>
      </c>
      <c r="S7" s="49">
        <f>IF(J7="Yes", 1, 0)</f>
        <v>0</v>
      </c>
      <c r="T7" s="49">
        <f t="shared" ref="T7:T38" si="2">IF(AND(ISNUMBER(K7), K7&gt;T$4), 1, 0)</f>
        <v>1</v>
      </c>
      <c r="U7" s="49">
        <f t="shared" ref="U7:U38" si="3">IF(AND(ISNUMBER(L7), L7&gt;U$4), 1, 0)</f>
        <v>1</v>
      </c>
      <c r="V7" s="49">
        <f t="shared" ref="V7:V38" si="4">IF(AND(ISNUMBER(M7), M7&gt;V$4), 1, 0)</f>
        <v>1</v>
      </c>
      <c r="W7" s="49">
        <f t="shared" ref="W7:W38" si="5">IF(AND(ISNUMBER(N7), N7&gt;W$4), 1, 0)</f>
        <v>1</v>
      </c>
      <c r="Y7" s="48" t="s">
        <v>32</v>
      </c>
    </row>
    <row r="8" spans="1:25" x14ac:dyDescent="0.35">
      <c r="A8" s="36" t="s">
        <v>11</v>
      </c>
      <c r="B8" s="37" t="s">
        <v>12</v>
      </c>
      <c r="C8" s="32" t="s">
        <v>95</v>
      </c>
      <c r="D8" s="32" t="s">
        <v>13</v>
      </c>
      <c r="E8" s="38">
        <v>8930.8203599999997</v>
      </c>
      <c r="F8" s="39">
        <v>56.370000000000005</v>
      </c>
      <c r="G8" s="39">
        <v>0</v>
      </c>
      <c r="H8" s="3">
        <f t="shared" ref="H8:H49" si="6">IFERROR(F8/E8, 0)</f>
        <v>6.3118501691596003E-3</v>
      </c>
      <c r="I8" s="3">
        <f t="shared" ref="I8:I49" si="7">IFERROR(G8/E8, 0)</f>
        <v>0</v>
      </c>
      <c r="J8" s="32" t="str">
        <f t="shared" ref="J8:J56" si="8">IF((H8+I8)&gt;15%,"Yes","No")</f>
        <v>No</v>
      </c>
      <c r="K8" s="3">
        <v>0.97764231456503614</v>
      </c>
      <c r="L8" s="3">
        <v>0.97764231456503603</v>
      </c>
      <c r="M8" s="3">
        <v>0.84940073939338145</v>
      </c>
      <c r="N8" s="3">
        <v>0.84940073939338145</v>
      </c>
      <c r="O8" s="32" t="str">
        <f t="shared" si="0"/>
        <v>No</v>
      </c>
      <c r="Q8" s="49">
        <f>IF(ISNUMBER(MATCH(C8, 'Credit Ratings'!$E$3:$E$48, 0)), 1, 0)</f>
        <v>1</v>
      </c>
      <c r="R8" s="49">
        <f t="shared" si="1"/>
        <v>1</v>
      </c>
      <c r="S8" s="49">
        <f t="shared" ref="S8:S42" si="9">IF(J8="Yes", 1, 0)</f>
        <v>0</v>
      </c>
      <c r="T8" s="49">
        <f t="shared" si="2"/>
        <v>1</v>
      </c>
      <c r="U8" s="49">
        <f t="shared" si="3"/>
        <v>1</v>
      </c>
      <c r="V8" s="49">
        <f t="shared" si="4"/>
        <v>1</v>
      </c>
      <c r="W8" s="49">
        <f t="shared" si="5"/>
        <v>1</v>
      </c>
      <c r="Y8" s="48" t="s">
        <v>11</v>
      </c>
    </row>
    <row r="9" spans="1:25" x14ac:dyDescent="0.35">
      <c r="A9" s="36" t="s">
        <v>34</v>
      </c>
      <c r="B9" s="37" t="s">
        <v>35</v>
      </c>
      <c r="C9" s="32" t="s">
        <v>95</v>
      </c>
      <c r="D9" s="32" t="s">
        <v>13</v>
      </c>
      <c r="E9" s="38">
        <v>10031.799999999999</v>
      </c>
      <c r="F9" s="39">
        <v>384</v>
      </c>
      <c r="G9" s="39">
        <v>1236</v>
      </c>
      <c r="H9" s="3">
        <f t="shared" si="6"/>
        <v>3.8278275085228977E-2</v>
      </c>
      <c r="I9" s="3">
        <f t="shared" si="7"/>
        <v>0.12320819793058076</v>
      </c>
      <c r="J9" s="32" t="str">
        <f t="shared" si="8"/>
        <v>Yes</v>
      </c>
      <c r="K9" s="3">
        <v>1</v>
      </c>
      <c r="L9" s="3">
        <v>1</v>
      </c>
      <c r="M9" s="3">
        <v>0.85072502825298679</v>
      </c>
      <c r="N9" s="3">
        <v>0.8441912974565603</v>
      </c>
      <c r="O9" s="32" t="str">
        <f t="shared" si="0"/>
        <v>Yes</v>
      </c>
      <c r="Q9" s="49">
        <f>IF(ISNUMBER(MATCH(C9, 'Credit Ratings'!$E$3:$E$48, 0)), 1, 0)</f>
        <v>1</v>
      </c>
      <c r="R9" s="49">
        <f t="shared" si="1"/>
        <v>1</v>
      </c>
      <c r="S9" s="49">
        <f t="shared" si="9"/>
        <v>1</v>
      </c>
      <c r="T9" s="49">
        <f t="shared" si="2"/>
        <v>1</v>
      </c>
      <c r="U9" s="49">
        <f t="shared" si="3"/>
        <v>1</v>
      </c>
      <c r="V9" s="49">
        <f t="shared" si="4"/>
        <v>1</v>
      </c>
      <c r="W9" s="49">
        <f t="shared" si="5"/>
        <v>1</v>
      </c>
      <c r="Y9" s="48" t="s">
        <v>34</v>
      </c>
    </row>
    <row r="10" spans="1:25" x14ac:dyDescent="0.35">
      <c r="A10" s="36" t="s">
        <v>15</v>
      </c>
      <c r="B10" s="37" t="s">
        <v>16</v>
      </c>
      <c r="C10" s="32" t="s">
        <v>95</v>
      </c>
      <c r="D10" s="32" t="s">
        <v>13</v>
      </c>
      <c r="E10" s="38">
        <v>24288.359829999994</v>
      </c>
      <c r="F10" s="39">
        <v>627</v>
      </c>
      <c r="G10" s="39">
        <v>2278</v>
      </c>
      <c r="H10" s="3">
        <f t="shared" si="6"/>
        <v>2.5814834941038509E-2</v>
      </c>
      <c r="I10" s="3">
        <f t="shared" si="7"/>
        <v>9.3789783087218068E-2</v>
      </c>
      <c r="J10" s="32" t="str">
        <f t="shared" si="8"/>
        <v>No</v>
      </c>
      <c r="K10" s="3">
        <v>0.9773883172031459</v>
      </c>
      <c r="L10" s="3">
        <v>0.97338593524954609</v>
      </c>
      <c r="M10" s="3">
        <v>1</v>
      </c>
      <c r="N10" s="3">
        <v>1</v>
      </c>
      <c r="O10" s="32" t="str">
        <f t="shared" si="0"/>
        <v>No</v>
      </c>
      <c r="Q10" s="49">
        <f>IF(ISNUMBER(MATCH(C10, 'Credit Ratings'!$E$3:$E$48, 0)), 1, 0)</f>
        <v>1</v>
      </c>
      <c r="R10" s="49">
        <f t="shared" si="1"/>
        <v>1</v>
      </c>
      <c r="S10" s="49">
        <f t="shared" si="9"/>
        <v>0</v>
      </c>
      <c r="T10" s="49">
        <f t="shared" si="2"/>
        <v>1</v>
      </c>
      <c r="U10" s="49">
        <f t="shared" si="3"/>
        <v>1</v>
      </c>
      <c r="V10" s="49">
        <f t="shared" si="4"/>
        <v>1</v>
      </c>
      <c r="W10" s="49">
        <f t="shared" si="5"/>
        <v>1</v>
      </c>
      <c r="Y10" s="48" t="s">
        <v>15</v>
      </c>
    </row>
    <row r="11" spans="1:25" x14ac:dyDescent="0.35">
      <c r="A11" s="36" t="s">
        <v>44</v>
      </c>
      <c r="B11" s="37" t="s">
        <v>45</v>
      </c>
      <c r="C11" s="32" t="s">
        <v>93</v>
      </c>
      <c r="D11" s="32" t="s">
        <v>13</v>
      </c>
      <c r="E11" s="38">
        <v>2143.1999999999998</v>
      </c>
      <c r="F11" s="39">
        <v>1155.5000000000002</v>
      </c>
      <c r="G11" s="39">
        <v>0</v>
      </c>
      <c r="H11" s="3">
        <f t="shared" si="6"/>
        <v>0.53914706980216509</v>
      </c>
      <c r="I11" s="3">
        <f t="shared" si="7"/>
        <v>0</v>
      </c>
      <c r="J11" s="32" t="str">
        <f t="shared" si="8"/>
        <v>Yes</v>
      </c>
      <c r="K11" s="3">
        <v>0.99972180995968107</v>
      </c>
      <c r="L11" s="3">
        <v>0.94993412384716736</v>
      </c>
      <c r="M11" s="3">
        <v>0.67885202962390412</v>
      </c>
      <c r="N11" s="3">
        <v>0.7440421416189954</v>
      </c>
      <c r="O11" s="32" t="str">
        <f t="shared" si="0"/>
        <v>No</v>
      </c>
      <c r="Q11" s="49">
        <f>IF(ISNUMBER(MATCH(C11, 'Credit Ratings'!$E$3:$E$48, 0)), 1, 0)</f>
        <v>1</v>
      </c>
      <c r="R11" s="49">
        <f t="shared" si="1"/>
        <v>1</v>
      </c>
      <c r="S11" s="49">
        <f t="shared" si="9"/>
        <v>1</v>
      </c>
      <c r="T11" s="49">
        <f t="shared" si="2"/>
        <v>1</v>
      </c>
      <c r="U11" s="49">
        <f t="shared" si="3"/>
        <v>1</v>
      </c>
      <c r="V11" s="49">
        <f t="shared" si="4"/>
        <v>0</v>
      </c>
      <c r="W11" s="49">
        <f t="shared" si="5"/>
        <v>0</v>
      </c>
      <c r="Y11" s="48" t="s">
        <v>44</v>
      </c>
    </row>
    <row r="12" spans="1:25" x14ac:dyDescent="0.35">
      <c r="A12" s="36" t="s">
        <v>46</v>
      </c>
      <c r="B12" s="37" t="s">
        <v>47</v>
      </c>
      <c r="C12" s="32" t="s">
        <v>95</v>
      </c>
      <c r="D12" s="32" t="s">
        <v>13</v>
      </c>
      <c r="E12" s="38">
        <v>725.84999999999991</v>
      </c>
      <c r="F12" s="39">
        <v>0</v>
      </c>
      <c r="G12" s="39">
        <v>0</v>
      </c>
      <c r="H12" s="3">
        <f t="shared" si="6"/>
        <v>0</v>
      </c>
      <c r="I12" s="3">
        <f t="shared" si="7"/>
        <v>0</v>
      </c>
      <c r="J12" s="32" t="str">
        <f t="shared" si="8"/>
        <v>No</v>
      </c>
      <c r="K12" s="3">
        <v>1</v>
      </c>
      <c r="L12" s="3">
        <v>1</v>
      </c>
      <c r="M12" s="3">
        <v>0.37563768603515779</v>
      </c>
      <c r="N12" s="3">
        <v>0.48345008535244083</v>
      </c>
      <c r="O12" s="32" t="str">
        <f t="shared" si="0"/>
        <v>No</v>
      </c>
      <c r="Q12" s="49">
        <f>IF(ISNUMBER(MATCH(C12, 'Credit Ratings'!$E$3:$E$48, 0)), 1, 0)</f>
        <v>1</v>
      </c>
      <c r="R12" s="49">
        <f t="shared" si="1"/>
        <v>1</v>
      </c>
      <c r="S12" s="49">
        <f t="shared" si="9"/>
        <v>0</v>
      </c>
      <c r="T12" s="49">
        <f t="shared" si="2"/>
        <v>1</v>
      </c>
      <c r="U12" s="49">
        <f t="shared" si="3"/>
        <v>1</v>
      </c>
      <c r="V12" s="49">
        <f t="shared" si="4"/>
        <v>0</v>
      </c>
      <c r="W12" s="49">
        <f t="shared" si="5"/>
        <v>0</v>
      </c>
      <c r="Y12" s="48" t="s">
        <v>46</v>
      </c>
    </row>
    <row r="13" spans="1:25" x14ac:dyDescent="0.35">
      <c r="A13" s="36" t="s">
        <v>48</v>
      </c>
      <c r="B13" s="37" t="s">
        <v>49</v>
      </c>
      <c r="C13" s="32" t="s">
        <v>95</v>
      </c>
      <c r="D13" s="32" t="s">
        <v>13</v>
      </c>
      <c r="E13" s="38">
        <v>780.34269999999992</v>
      </c>
      <c r="F13" s="39">
        <v>0</v>
      </c>
      <c r="G13" s="39">
        <v>0</v>
      </c>
      <c r="H13" s="3">
        <f t="shared" si="6"/>
        <v>0</v>
      </c>
      <c r="I13" s="3">
        <f t="shared" si="7"/>
        <v>0</v>
      </c>
      <c r="J13" s="32" t="str">
        <f t="shared" si="8"/>
        <v>No</v>
      </c>
      <c r="K13" s="3">
        <v>0.98519856627845337</v>
      </c>
      <c r="L13" s="3">
        <v>1</v>
      </c>
      <c r="M13" s="3">
        <v>0.49534511966086603</v>
      </c>
      <c r="N13" s="3">
        <v>0.59524250098976383</v>
      </c>
      <c r="O13" s="32" t="str">
        <f t="shared" si="0"/>
        <v>No</v>
      </c>
      <c r="Q13" s="49">
        <f>IF(ISNUMBER(MATCH(C13, 'Credit Ratings'!$E$3:$E$48, 0)), 1, 0)</f>
        <v>1</v>
      </c>
      <c r="R13" s="49">
        <f t="shared" si="1"/>
        <v>1</v>
      </c>
      <c r="S13" s="49">
        <f t="shared" si="9"/>
        <v>0</v>
      </c>
      <c r="T13" s="49">
        <f t="shared" si="2"/>
        <v>1</v>
      </c>
      <c r="U13" s="49">
        <f t="shared" si="3"/>
        <v>1</v>
      </c>
      <c r="V13" s="49">
        <f t="shared" si="4"/>
        <v>0</v>
      </c>
      <c r="W13" s="49">
        <f t="shared" si="5"/>
        <v>0</v>
      </c>
      <c r="Y13" s="48" t="s">
        <v>48</v>
      </c>
    </row>
    <row r="14" spans="1:25" x14ac:dyDescent="0.35">
      <c r="A14" s="36" t="s">
        <v>50</v>
      </c>
      <c r="B14" s="37" t="s">
        <v>51</v>
      </c>
      <c r="C14" s="32" t="s">
        <v>95</v>
      </c>
      <c r="D14" s="32" t="s">
        <v>13</v>
      </c>
      <c r="E14" s="38">
        <v>7307.9594680000009</v>
      </c>
      <c r="F14" s="39">
        <v>128.1</v>
      </c>
      <c r="G14" s="39">
        <v>0</v>
      </c>
      <c r="H14" s="3">
        <f t="shared" si="6"/>
        <v>1.7528832851485099E-2</v>
      </c>
      <c r="I14" s="3">
        <f t="shared" si="7"/>
        <v>0</v>
      </c>
      <c r="J14" s="32" t="str">
        <f t="shared" si="8"/>
        <v>No</v>
      </c>
      <c r="K14" s="3">
        <v>0.95546027969151048</v>
      </c>
      <c r="L14" s="3">
        <v>1</v>
      </c>
      <c r="M14" s="3">
        <v>0.67669591446840649</v>
      </c>
      <c r="N14" s="3">
        <v>0.63149922281528015</v>
      </c>
      <c r="O14" s="32" t="str">
        <f t="shared" si="0"/>
        <v>No</v>
      </c>
      <c r="Q14" s="49">
        <f>IF(ISNUMBER(MATCH(C14, 'Credit Ratings'!$E$3:$E$48, 0)), 1, 0)</f>
        <v>1</v>
      </c>
      <c r="R14" s="49">
        <f t="shared" si="1"/>
        <v>1</v>
      </c>
      <c r="S14" s="49">
        <f t="shared" si="9"/>
        <v>0</v>
      </c>
      <c r="T14" s="49">
        <f t="shared" si="2"/>
        <v>1</v>
      </c>
      <c r="U14" s="49">
        <f t="shared" si="3"/>
        <v>1</v>
      </c>
      <c r="V14" s="49">
        <f t="shared" si="4"/>
        <v>0</v>
      </c>
      <c r="W14" s="49">
        <f t="shared" si="5"/>
        <v>0</v>
      </c>
      <c r="Y14" s="48" t="s">
        <v>50</v>
      </c>
    </row>
    <row r="15" spans="1:25" x14ac:dyDescent="0.35">
      <c r="A15" s="36" t="s">
        <v>52</v>
      </c>
      <c r="B15" s="37" t="s">
        <v>53</v>
      </c>
      <c r="C15" s="32" t="s">
        <v>94</v>
      </c>
      <c r="D15" s="32" t="s">
        <v>13</v>
      </c>
      <c r="E15" s="38">
        <v>798.3</v>
      </c>
      <c r="F15" s="39">
        <v>0</v>
      </c>
      <c r="G15" s="39">
        <v>0</v>
      </c>
      <c r="H15" s="3">
        <f t="shared" si="6"/>
        <v>0</v>
      </c>
      <c r="I15" s="3">
        <f>IFERROR(G15/E15, 0)</f>
        <v>0</v>
      </c>
      <c r="J15" s="32" t="str">
        <f t="shared" si="8"/>
        <v>No</v>
      </c>
      <c r="K15" s="3">
        <v>0.96896296822410177</v>
      </c>
      <c r="L15" s="3">
        <v>0.86269857251639659</v>
      </c>
      <c r="M15" s="3">
        <v>0.7457946922120966</v>
      </c>
      <c r="N15" s="3">
        <v>0.70792463251356363</v>
      </c>
      <c r="O15" s="32" t="str">
        <f t="shared" si="0"/>
        <v>No</v>
      </c>
      <c r="Q15" s="49">
        <f>IF(ISNUMBER(MATCH(C15, 'Credit Ratings'!$E$3:$E$48, 0)), 1, 0)</f>
        <v>1</v>
      </c>
      <c r="R15" s="49">
        <f t="shared" si="1"/>
        <v>1</v>
      </c>
      <c r="S15" s="49">
        <f t="shared" si="9"/>
        <v>0</v>
      </c>
      <c r="T15" s="49">
        <f t="shared" si="2"/>
        <v>1</v>
      </c>
      <c r="U15" s="49">
        <f t="shared" si="3"/>
        <v>1</v>
      </c>
      <c r="V15" s="49">
        <f t="shared" si="4"/>
        <v>0</v>
      </c>
      <c r="W15" s="49">
        <f t="shared" si="5"/>
        <v>0</v>
      </c>
      <c r="Y15" s="48" t="s">
        <v>52</v>
      </c>
    </row>
    <row r="16" spans="1:25" x14ac:dyDescent="0.35">
      <c r="A16" s="36" t="s">
        <v>54</v>
      </c>
      <c r="B16" s="37" t="s">
        <v>55</v>
      </c>
      <c r="C16" s="32" t="s">
        <v>95</v>
      </c>
      <c r="D16" s="32" t="s">
        <v>13</v>
      </c>
      <c r="E16" s="38">
        <v>25742.815100000007</v>
      </c>
      <c r="F16" s="39">
        <v>549.1</v>
      </c>
      <c r="G16" s="39">
        <v>4147.4050999999999</v>
      </c>
      <c r="H16" s="3">
        <f t="shared" si="6"/>
        <v>2.1330223515453828E-2</v>
      </c>
      <c r="I16" s="3">
        <f t="shared" si="7"/>
        <v>0.16110922926995652</v>
      </c>
      <c r="J16" s="32" t="str">
        <f t="shared" si="8"/>
        <v>Yes</v>
      </c>
      <c r="K16" s="3">
        <v>0.92224686657048716</v>
      </c>
      <c r="L16" s="3">
        <v>0.94362210610266706</v>
      </c>
      <c r="M16" s="3">
        <v>1</v>
      </c>
      <c r="N16" s="3">
        <v>1</v>
      </c>
      <c r="O16" s="32" t="str">
        <f t="shared" si="0"/>
        <v>Yes</v>
      </c>
      <c r="Q16" s="49">
        <f>IF(ISNUMBER(MATCH(C16, 'Credit Ratings'!$E$3:$E$48, 0)), 1, 0)</f>
        <v>1</v>
      </c>
      <c r="R16" s="49">
        <f t="shared" si="1"/>
        <v>1</v>
      </c>
      <c r="S16" s="49">
        <f t="shared" si="9"/>
        <v>1</v>
      </c>
      <c r="T16" s="49">
        <f t="shared" si="2"/>
        <v>1</v>
      </c>
      <c r="U16" s="49">
        <f t="shared" si="3"/>
        <v>1</v>
      </c>
      <c r="V16" s="49">
        <f t="shared" si="4"/>
        <v>1</v>
      </c>
      <c r="W16" s="49">
        <f t="shared" si="5"/>
        <v>1</v>
      </c>
      <c r="Y16" s="48" t="s">
        <v>168</v>
      </c>
    </row>
    <row r="17" spans="1:25" x14ac:dyDescent="0.35">
      <c r="A17" s="36" t="s">
        <v>56</v>
      </c>
      <c r="B17" s="37" t="s">
        <v>57</v>
      </c>
      <c r="C17" s="32" t="s">
        <v>95</v>
      </c>
      <c r="D17" s="32" t="s">
        <v>13</v>
      </c>
      <c r="E17" s="38">
        <v>11675.391</v>
      </c>
      <c r="F17" s="39">
        <v>0</v>
      </c>
      <c r="G17" s="39">
        <v>1161</v>
      </c>
      <c r="H17" s="3">
        <f t="shared" si="6"/>
        <v>0</v>
      </c>
      <c r="I17" s="3">
        <f t="shared" si="7"/>
        <v>9.9439924538715668E-2</v>
      </c>
      <c r="J17" s="32" t="str">
        <f t="shared" si="8"/>
        <v>No</v>
      </c>
      <c r="K17" s="3">
        <v>0.55889777491573411</v>
      </c>
      <c r="L17" s="3">
        <v>0.88321301455689605</v>
      </c>
      <c r="M17" s="3">
        <v>0.77197935483449065</v>
      </c>
      <c r="N17" s="3">
        <v>0.74403193619665842</v>
      </c>
      <c r="O17" s="32" t="str">
        <f t="shared" si="0"/>
        <v>No</v>
      </c>
      <c r="Q17" s="49">
        <f>IF(ISNUMBER(MATCH(C17, 'Credit Ratings'!$E$3:$E$48, 0)), 1, 0)</f>
        <v>1</v>
      </c>
      <c r="R17" s="49">
        <f t="shared" si="1"/>
        <v>1</v>
      </c>
      <c r="S17" s="49">
        <f t="shared" si="9"/>
        <v>0</v>
      </c>
      <c r="T17" s="49">
        <f t="shared" si="2"/>
        <v>0</v>
      </c>
      <c r="U17" s="49">
        <f t="shared" si="3"/>
        <v>1</v>
      </c>
      <c r="V17" s="49">
        <f t="shared" si="4"/>
        <v>0</v>
      </c>
      <c r="W17" s="49">
        <f t="shared" si="5"/>
        <v>0</v>
      </c>
      <c r="Y17" s="48" t="s">
        <v>56</v>
      </c>
    </row>
    <row r="18" spans="1:25" x14ac:dyDescent="0.35">
      <c r="A18" s="36" t="s">
        <v>17</v>
      </c>
      <c r="B18" s="37" t="s">
        <v>18</v>
      </c>
      <c r="C18" s="32" t="s">
        <v>95</v>
      </c>
      <c r="D18" s="32" t="s">
        <v>13</v>
      </c>
      <c r="E18" s="38">
        <v>53725.788860000015</v>
      </c>
      <c r="F18" s="39">
        <v>1338.9137000000001</v>
      </c>
      <c r="G18" s="39">
        <v>9195.4814299999998</v>
      </c>
      <c r="H18" s="3">
        <f t="shared" si="6"/>
        <v>2.4921247847825453E-2</v>
      </c>
      <c r="I18" s="3">
        <f t="shared" si="7"/>
        <v>0.17115581967464102</v>
      </c>
      <c r="J18" s="32" t="str">
        <f t="shared" si="8"/>
        <v>Yes</v>
      </c>
      <c r="K18" s="3">
        <v>1.0039526391115308</v>
      </c>
      <c r="L18" s="3">
        <v>1</v>
      </c>
      <c r="M18" s="3">
        <v>0.91518862599892314</v>
      </c>
      <c r="N18" s="3">
        <v>0.90042300258597063</v>
      </c>
      <c r="O18" s="32" t="str">
        <f t="shared" si="0"/>
        <v>Yes</v>
      </c>
      <c r="Q18" s="49">
        <f>IF(ISNUMBER(MATCH(C18, 'Credit Ratings'!$E$3:$E$48, 0)), 1, 0)</f>
        <v>1</v>
      </c>
      <c r="R18" s="49">
        <f t="shared" si="1"/>
        <v>1</v>
      </c>
      <c r="S18" s="49">
        <f t="shared" si="9"/>
        <v>1</v>
      </c>
      <c r="T18" s="49">
        <f t="shared" si="2"/>
        <v>1</v>
      </c>
      <c r="U18" s="49">
        <f t="shared" si="3"/>
        <v>1</v>
      </c>
      <c r="V18" s="49">
        <f t="shared" si="4"/>
        <v>1</v>
      </c>
      <c r="W18" s="49">
        <f t="shared" si="5"/>
        <v>1</v>
      </c>
      <c r="Y18" s="48" t="s">
        <v>17</v>
      </c>
    </row>
    <row r="19" spans="1:25" x14ac:dyDescent="0.35">
      <c r="A19" s="36" t="s">
        <v>36</v>
      </c>
      <c r="B19" s="37" t="s">
        <v>37</v>
      </c>
      <c r="C19" s="32" t="s">
        <v>93</v>
      </c>
      <c r="D19" s="32" t="s">
        <v>13</v>
      </c>
      <c r="E19" s="38">
        <v>3571.5940000000005</v>
      </c>
      <c r="F19" s="39">
        <v>938.51999999999987</v>
      </c>
      <c r="G19" s="39">
        <v>632.47400000000005</v>
      </c>
      <c r="H19" s="3">
        <f t="shared" si="6"/>
        <v>0.26277342833479944</v>
      </c>
      <c r="I19" s="3">
        <f t="shared" si="7"/>
        <v>0.17708451744515194</v>
      </c>
      <c r="J19" s="32" t="str">
        <f t="shared" si="8"/>
        <v>Yes</v>
      </c>
      <c r="K19" s="3">
        <v>0.99680059636230556</v>
      </c>
      <c r="L19" s="3">
        <v>1</v>
      </c>
      <c r="M19" s="3">
        <v>1</v>
      </c>
      <c r="N19" s="3">
        <v>1</v>
      </c>
      <c r="O19" s="32" t="str">
        <f t="shared" si="0"/>
        <v>Yes</v>
      </c>
      <c r="Q19" s="49">
        <f>IF(ISNUMBER(MATCH(C19, 'Credit Ratings'!$E$3:$E$48, 0)), 1, 0)</f>
        <v>1</v>
      </c>
      <c r="R19" s="49">
        <f t="shared" si="1"/>
        <v>1</v>
      </c>
      <c r="S19" s="49">
        <f t="shared" si="9"/>
        <v>1</v>
      </c>
      <c r="T19" s="49">
        <f t="shared" si="2"/>
        <v>1</v>
      </c>
      <c r="U19" s="49">
        <f t="shared" si="3"/>
        <v>1</v>
      </c>
      <c r="V19" s="49">
        <f t="shared" si="4"/>
        <v>1</v>
      </c>
      <c r="W19" s="49">
        <f t="shared" si="5"/>
        <v>1</v>
      </c>
      <c r="Y19" s="48" t="s">
        <v>36</v>
      </c>
    </row>
    <row r="20" spans="1:25" x14ac:dyDescent="0.35">
      <c r="A20" s="36" t="s">
        <v>19</v>
      </c>
      <c r="B20" s="37" t="s">
        <v>20</v>
      </c>
      <c r="C20" s="32" t="s">
        <v>95</v>
      </c>
      <c r="D20" s="32" t="s">
        <v>13</v>
      </c>
      <c r="E20" s="38">
        <v>26239.351151999996</v>
      </c>
      <c r="F20" s="39">
        <v>72.5</v>
      </c>
      <c r="G20" s="39">
        <v>4027.5</v>
      </c>
      <c r="H20" s="3">
        <f t="shared" si="6"/>
        <v>2.7630256396211977E-3</v>
      </c>
      <c r="I20" s="3">
        <f t="shared" si="7"/>
        <v>0.15349083811826722</v>
      </c>
      <c r="J20" s="32" t="str">
        <f t="shared" si="8"/>
        <v>Yes</v>
      </c>
      <c r="K20" s="3">
        <v>0.9861952770948581</v>
      </c>
      <c r="L20" s="3">
        <v>0.98651895904828679</v>
      </c>
      <c r="M20" s="3">
        <v>0.9846318049517121</v>
      </c>
      <c r="N20" s="3">
        <v>0.99140170860557453</v>
      </c>
      <c r="O20" s="32" t="str">
        <f t="shared" si="0"/>
        <v>Yes</v>
      </c>
      <c r="Q20" s="49">
        <f>IF(ISNUMBER(MATCH(C20, 'Credit Ratings'!$E$3:$E$48, 0)), 1, 0)</f>
        <v>1</v>
      </c>
      <c r="R20" s="49">
        <f t="shared" si="1"/>
        <v>1</v>
      </c>
      <c r="S20" s="49">
        <f t="shared" si="9"/>
        <v>1</v>
      </c>
      <c r="T20" s="49">
        <f t="shared" si="2"/>
        <v>1</v>
      </c>
      <c r="U20" s="49">
        <f t="shared" si="3"/>
        <v>1</v>
      </c>
      <c r="V20" s="49">
        <f t="shared" si="4"/>
        <v>1</v>
      </c>
      <c r="W20" s="49">
        <f t="shared" si="5"/>
        <v>1</v>
      </c>
      <c r="Y20" s="48" t="s">
        <v>19</v>
      </c>
    </row>
    <row r="21" spans="1:25" x14ac:dyDescent="0.35">
      <c r="A21" s="36" t="s">
        <v>58</v>
      </c>
      <c r="B21" s="37" t="s">
        <v>59</v>
      </c>
      <c r="C21" s="32" t="s">
        <v>95</v>
      </c>
      <c r="D21" s="32" t="s">
        <v>14</v>
      </c>
      <c r="E21" s="38">
        <v>61.800000000000004</v>
      </c>
      <c r="F21" s="39">
        <v>0</v>
      </c>
      <c r="G21" s="39">
        <v>0</v>
      </c>
      <c r="H21" s="3">
        <f t="shared" si="6"/>
        <v>0</v>
      </c>
      <c r="I21" s="3">
        <f t="shared" si="7"/>
        <v>0</v>
      </c>
      <c r="J21" s="32" t="str">
        <f t="shared" si="8"/>
        <v>No</v>
      </c>
      <c r="K21" s="3">
        <v>1</v>
      </c>
      <c r="L21" s="3">
        <v>0.94196901646079978</v>
      </c>
      <c r="M21" s="3">
        <v>0.82164122717745391</v>
      </c>
      <c r="N21" s="3">
        <v>0.84614067815053462</v>
      </c>
      <c r="O21" s="32" t="str">
        <f t="shared" si="0"/>
        <v>No</v>
      </c>
      <c r="Q21" s="49">
        <f>IF(ISNUMBER(MATCH(C21, 'Credit Ratings'!$E$3:$E$48, 0)), 1, 0)</f>
        <v>1</v>
      </c>
      <c r="R21" s="49">
        <f t="shared" si="1"/>
        <v>0</v>
      </c>
      <c r="S21" s="49">
        <f t="shared" si="9"/>
        <v>0</v>
      </c>
      <c r="T21" s="49">
        <f t="shared" si="2"/>
        <v>1</v>
      </c>
      <c r="U21" s="49">
        <f t="shared" si="3"/>
        <v>1</v>
      </c>
      <c r="V21" s="49">
        <f t="shared" si="4"/>
        <v>1</v>
      </c>
      <c r="W21" s="49">
        <f t="shared" si="5"/>
        <v>1</v>
      </c>
      <c r="Y21" s="48" t="s">
        <v>58</v>
      </c>
    </row>
    <row r="22" spans="1:25" x14ac:dyDescent="0.35">
      <c r="A22" s="36" t="s">
        <v>23</v>
      </c>
      <c r="B22" s="37" t="s">
        <v>24</v>
      </c>
      <c r="C22" s="32" t="s">
        <v>94</v>
      </c>
      <c r="D22" s="32" t="s">
        <v>14</v>
      </c>
      <c r="E22" s="38">
        <v>0</v>
      </c>
      <c r="F22" s="39">
        <v>0</v>
      </c>
      <c r="G22" s="39">
        <v>0</v>
      </c>
      <c r="H22" s="3">
        <f t="shared" si="6"/>
        <v>0</v>
      </c>
      <c r="I22" s="3">
        <f t="shared" si="7"/>
        <v>0</v>
      </c>
      <c r="J22" s="32" t="str">
        <f t="shared" si="8"/>
        <v>No</v>
      </c>
      <c r="K22" s="3">
        <v>1</v>
      </c>
      <c r="L22" s="3">
        <v>0.99760747086516943</v>
      </c>
      <c r="M22" s="3">
        <v>0.91109415918984415</v>
      </c>
      <c r="N22" s="3">
        <v>0.89776056728167086</v>
      </c>
      <c r="O22" s="32" t="str">
        <f t="shared" si="0"/>
        <v>No</v>
      </c>
      <c r="Q22" s="49">
        <f>IF(ISNUMBER(MATCH(C22, 'Credit Ratings'!$E$3:$E$48, 0)), 1, 0)</f>
        <v>1</v>
      </c>
      <c r="R22" s="49">
        <f t="shared" si="1"/>
        <v>0</v>
      </c>
      <c r="S22" s="49">
        <f t="shared" si="9"/>
        <v>0</v>
      </c>
      <c r="T22" s="49">
        <f t="shared" si="2"/>
        <v>1</v>
      </c>
      <c r="U22" s="49">
        <f t="shared" si="3"/>
        <v>1</v>
      </c>
      <c r="V22" s="49">
        <f t="shared" si="4"/>
        <v>1</v>
      </c>
      <c r="W22" s="49">
        <f t="shared" si="5"/>
        <v>1</v>
      </c>
      <c r="Y22" s="48" t="s">
        <v>23</v>
      </c>
    </row>
    <row r="23" spans="1:25" x14ac:dyDescent="0.35">
      <c r="A23" s="36" t="s">
        <v>60</v>
      </c>
      <c r="B23" s="37" t="s">
        <v>61</v>
      </c>
      <c r="C23" s="32" t="s">
        <v>93</v>
      </c>
      <c r="D23" s="32" t="s">
        <v>13</v>
      </c>
      <c r="E23" s="38">
        <v>3183.0115000000001</v>
      </c>
      <c r="F23" s="39">
        <v>0</v>
      </c>
      <c r="G23" s="39">
        <v>0</v>
      </c>
      <c r="H23" s="3">
        <f t="shared" si="6"/>
        <v>0</v>
      </c>
      <c r="I23" s="3">
        <f t="shared" si="7"/>
        <v>0</v>
      </c>
      <c r="J23" s="32" t="str">
        <f t="shared" si="8"/>
        <v>No</v>
      </c>
      <c r="K23" s="3">
        <v>0.99971509971509975</v>
      </c>
      <c r="L23" s="3">
        <v>1</v>
      </c>
      <c r="M23" s="3">
        <v>1</v>
      </c>
      <c r="N23" s="3">
        <v>1</v>
      </c>
      <c r="O23" s="32" t="str">
        <f t="shared" si="0"/>
        <v>No</v>
      </c>
      <c r="Q23" s="49">
        <f>IF(ISNUMBER(MATCH(C23, 'Credit Ratings'!$E$3:$E$48, 0)), 1, 0)</f>
        <v>1</v>
      </c>
      <c r="R23" s="49">
        <f t="shared" si="1"/>
        <v>1</v>
      </c>
      <c r="S23" s="49">
        <f t="shared" si="9"/>
        <v>0</v>
      </c>
      <c r="T23" s="49">
        <f t="shared" si="2"/>
        <v>1</v>
      </c>
      <c r="U23" s="49">
        <f t="shared" si="3"/>
        <v>1</v>
      </c>
      <c r="V23" s="49">
        <f t="shared" si="4"/>
        <v>1</v>
      </c>
      <c r="W23" s="49">
        <f t="shared" si="5"/>
        <v>1</v>
      </c>
      <c r="Y23" s="48" t="s">
        <v>177</v>
      </c>
    </row>
    <row r="24" spans="1:25" x14ac:dyDescent="0.35">
      <c r="A24" s="36" t="s">
        <v>21</v>
      </c>
      <c r="B24" s="37" t="s">
        <v>22</v>
      </c>
      <c r="C24" s="32" t="s">
        <v>95</v>
      </c>
      <c r="D24" s="32" t="s">
        <v>13</v>
      </c>
      <c r="E24" s="38">
        <v>11863.38141</v>
      </c>
      <c r="F24" s="39">
        <v>5.3</v>
      </c>
      <c r="G24" s="39">
        <v>1179.7</v>
      </c>
      <c r="H24" s="3">
        <f t="shared" si="6"/>
        <v>4.4675289589294254E-4</v>
      </c>
      <c r="I24" s="3">
        <f t="shared" si="7"/>
        <v>9.9440451185831003E-2</v>
      </c>
      <c r="J24" s="32" t="str">
        <f t="shared" si="8"/>
        <v>No</v>
      </c>
      <c r="K24" s="3">
        <v>1</v>
      </c>
      <c r="L24" s="3">
        <v>1</v>
      </c>
      <c r="M24" s="3">
        <v>1</v>
      </c>
      <c r="N24" s="3">
        <v>1</v>
      </c>
      <c r="O24" s="32" t="str">
        <f t="shared" si="0"/>
        <v>No</v>
      </c>
      <c r="Q24" s="49">
        <f>IF(ISNUMBER(MATCH(C24, 'Credit Ratings'!$E$3:$E$48, 0)), 1, 0)</f>
        <v>1</v>
      </c>
      <c r="R24" s="49">
        <f t="shared" si="1"/>
        <v>1</v>
      </c>
      <c r="S24" s="49">
        <f t="shared" si="9"/>
        <v>0</v>
      </c>
      <c r="T24" s="49">
        <f t="shared" si="2"/>
        <v>1</v>
      </c>
      <c r="U24" s="49">
        <f t="shared" si="3"/>
        <v>1</v>
      </c>
      <c r="V24" s="49">
        <f t="shared" si="4"/>
        <v>1</v>
      </c>
      <c r="W24" s="49">
        <f t="shared" si="5"/>
        <v>1</v>
      </c>
      <c r="Y24" s="48" t="s">
        <v>171</v>
      </c>
    </row>
    <row r="25" spans="1:25" x14ac:dyDescent="0.35">
      <c r="A25" s="36" t="s">
        <v>38</v>
      </c>
      <c r="B25" s="37" t="s">
        <v>39</v>
      </c>
      <c r="C25" s="32" t="s">
        <v>96</v>
      </c>
      <c r="D25" s="32" t="s">
        <v>13</v>
      </c>
      <c r="E25" s="38">
        <v>1687.9</v>
      </c>
      <c r="F25" s="39">
        <v>4.0999999999999996</v>
      </c>
      <c r="G25" s="39">
        <v>0</v>
      </c>
      <c r="H25" s="3">
        <f t="shared" si="6"/>
        <v>2.4290538539012969E-3</v>
      </c>
      <c r="I25" s="3">
        <f t="shared" si="7"/>
        <v>0</v>
      </c>
      <c r="J25" s="32" t="str">
        <f t="shared" si="8"/>
        <v>No</v>
      </c>
      <c r="K25" s="3">
        <v>0.99591595881795736</v>
      </c>
      <c r="L25" s="3">
        <v>0.94439640019686422</v>
      </c>
      <c r="M25" s="3">
        <v>1</v>
      </c>
      <c r="N25" s="3">
        <v>1</v>
      </c>
      <c r="O25" s="32" t="str">
        <f t="shared" si="0"/>
        <v>No</v>
      </c>
      <c r="Q25" s="49">
        <f>IF(ISNUMBER(MATCH(C25, 'Credit Ratings'!$E$3:$E$48, 0)), 1, 0)</f>
        <v>0</v>
      </c>
      <c r="R25" s="49">
        <f t="shared" si="1"/>
        <v>1</v>
      </c>
      <c r="S25" s="49">
        <f t="shared" si="9"/>
        <v>0</v>
      </c>
      <c r="T25" s="49">
        <f t="shared" si="2"/>
        <v>1</v>
      </c>
      <c r="U25" s="49">
        <f t="shared" si="3"/>
        <v>1</v>
      </c>
      <c r="V25" s="49">
        <f t="shared" si="4"/>
        <v>1</v>
      </c>
      <c r="W25" s="49">
        <f t="shared" si="5"/>
        <v>1</v>
      </c>
      <c r="Y25" s="48" t="s">
        <v>38</v>
      </c>
    </row>
    <row r="26" spans="1:25" x14ac:dyDescent="0.35">
      <c r="A26" s="36" t="s">
        <v>40</v>
      </c>
      <c r="B26" s="37" t="s">
        <v>41</v>
      </c>
      <c r="C26" s="32" t="s">
        <v>93</v>
      </c>
      <c r="D26" s="32" t="s">
        <v>13</v>
      </c>
      <c r="E26" s="38">
        <v>3922.76</v>
      </c>
      <c r="F26" s="39">
        <v>1937.3</v>
      </c>
      <c r="G26" s="39">
        <v>0</v>
      </c>
      <c r="H26" s="3">
        <f t="shared" si="6"/>
        <v>0.49386146488696731</v>
      </c>
      <c r="I26" s="3">
        <f t="shared" si="7"/>
        <v>0</v>
      </c>
      <c r="J26" s="32" t="str">
        <f t="shared" si="8"/>
        <v>Yes</v>
      </c>
      <c r="K26" s="3">
        <v>0.99808100545914236</v>
      </c>
      <c r="L26" s="3">
        <v>0.99988764195384905</v>
      </c>
      <c r="M26" s="3">
        <v>1</v>
      </c>
      <c r="N26" s="3">
        <v>1</v>
      </c>
      <c r="O26" s="32" t="str">
        <f t="shared" si="0"/>
        <v>Yes</v>
      </c>
      <c r="Q26" s="49">
        <f>IF(ISNUMBER(MATCH(C26, 'Credit Ratings'!$E$3:$E$48, 0)), 1, 0)</f>
        <v>1</v>
      </c>
      <c r="R26" s="49">
        <f t="shared" si="1"/>
        <v>1</v>
      </c>
      <c r="S26" s="49">
        <f t="shared" si="9"/>
        <v>1</v>
      </c>
      <c r="T26" s="49">
        <f t="shared" si="2"/>
        <v>1</v>
      </c>
      <c r="U26" s="49">
        <f t="shared" si="3"/>
        <v>1</v>
      </c>
      <c r="V26" s="49">
        <f t="shared" si="4"/>
        <v>1</v>
      </c>
      <c r="W26" s="49">
        <f t="shared" si="5"/>
        <v>1</v>
      </c>
      <c r="Y26" s="48" t="s">
        <v>40</v>
      </c>
    </row>
    <row r="27" spans="1:25" x14ac:dyDescent="0.35">
      <c r="A27" s="36" t="s">
        <v>62</v>
      </c>
      <c r="B27" s="37" t="s">
        <v>63</v>
      </c>
      <c r="C27" s="32" t="s">
        <v>97</v>
      </c>
      <c r="D27" s="32" t="s">
        <v>13</v>
      </c>
      <c r="E27" s="38">
        <v>1220.8289199999999</v>
      </c>
      <c r="F27" s="39">
        <v>0</v>
      </c>
      <c r="G27" s="39">
        <v>0</v>
      </c>
      <c r="H27" s="3">
        <f t="shared" si="6"/>
        <v>0</v>
      </c>
      <c r="I27" s="3">
        <f t="shared" si="7"/>
        <v>0</v>
      </c>
      <c r="J27" s="32" t="str">
        <f t="shared" si="8"/>
        <v>No</v>
      </c>
      <c r="K27" s="3">
        <v>0.99901283725174983</v>
      </c>
      <c r="L27" s="3">
        <v>0.78886787516188861</v>
      </c>
      <c r="M27" s="3">
        <v>0.69919321379385435</v>
      </c>
      <c r="N27" s="3">
        <v>0.7850838285460906</v>
      </c>
      <c r="O27" s="32" t="str">
        <f t="shared" si="0"/>
        <v>No</v>
      </c>
      <c r="Q27" s="49">
        <f>IF(ISNUMBER(MATCH(C27, 'Credit Ratings'!$E$3:$E$48, 0)), 1, 0)</f>
        <v>1</v>
      </c>
      <c r="R27" s="49">
        <f t="shared" si="1"/>
        <v>1</v>
      </c>
      <c r="S27" s="49">
        <f t="shared" si="9"/>
        <v>0</v>
      </c>
      <c r="T27" s="49">
        <f t="shared" si="2"/>
        <v>1</v>
      </c>
      <c r="U27" s="49">
        <f t="shared" si="3"/>
        <v>1</v>
      </c>
      <c r="V27" s="49">
        <f t="shared" si="4"/>
        <v>0</v>
      </c>
      <c r="W27" s="49">
        <f t="shared" si="5"/>
        <v>0</v>
      </c>
      <c r="Y27" s="48" t="s">
        <v>62</v>
      </c>
    </row>
    <row r="28" spans="1:25" x14ac:dyDescent="0.35">
      <c r="A28" s="36" t="s">
        <v>25</v>
      </c>
      <c r="B28" s="37" t="s">
        <v>26</v>
      </c>
      <c r="C28" s="32" t="s">
        <v>94</v>
      </c>
      <c r="D28" s="32" t="s">
        <v>13</v>
      </c>
      <c r="E28" s="38">
        <v>39804.731970999994</v>
      </c>
      <c r="F28" s="39">
        <v>0</v>
      </c>
      <c r="G28" s="39">
        <v>3589.9191000000001</v>
      </c>
      <c r="H28" s="3">
        <f t="shared" si="6"/>
        <v>0</v>
      </c>
      <c r="I28" s="3">
        <f t="shared" si="7"/>
        <v>9.0188249543181442E-2</v>
      </c>
      <c r="J28" s="32" t="str">
        <f t="shared" si="8"/>
        <v>No</v>
      </c>
      <c r="K28" s="3">
        <v>0.73021409597163756</v>
      </c>
      <c r="L28" s="3">
        <v>0.85216492999592808</v>
      </c>
      <c r="M28" s="3">
        <v>1</v>
      </c>
      <c r="N28" s="3">
        <v>1</v>
      </c>
      <c r="O28" s="32" t="str">
        <f t="shared" si="0"/>
        <v>No</v>
      </c>
      <c r="Q28" s="49">
        <f>IF(ISNUMBER(MATCH(C28, 'Credit Ratings'!$E$3:$E$48, 0)), 1, 0)</f>
        <v>1</v>
      </c>
      <c r="R28" s="49">
        <f t="shared" si="1"/>
        <v>1</v>
      </c>
      <c r="S28" s="49">
        <f t="shared" si="9"/>
        <v>0</v>
      </c>
      <c r="T28" s="49">
        <f t="shared" si="2"/>
        <v>1</v>
      </c>
      <c r="U28" s="49">
        <f t="shared" si="3"/>
        <v>1</v>
      </c>
      <c r="V28" s="49">
        <f t="shared" si="4"/>
        <v>1</v>
      </c>
      <c r="W28" s="49">
        <f t="shared" si="5"/>
        <v>1</v>
      </c>
      <c r="Y28" s="48" t="s">
        <v>25</v>
      </c>
    </row>
    <row r="29" spans="1:25" x14ac:dyDescent="0.35">
      <c r="A29" s="36" t="s">
        <v>64</v>
      </c>
      <c r="B29" s="37" t="s">
        <v>65</v>
      </c>
      <c r="C29" s="32" t="s">
        <v>93</v>
      </c>
      <c r="D29" s="32" t="s">
        <v>13</v>
      </c>
      <c r="E29" s="38">
        <v>1527.9972</v>
      </c>
      <c r="F29" s="39">
        <v>470.70000000000005</v>
      </c>
      <c r="G29" s="39">
        <v>0</v>
      </c>
      <c r="H29" s="3">
        <f t="shared" si="6"/>
        <v>0.3080503027099788</v>
      </c>
      <c r="I29" s="3">
        <f t="shared" si="7"/>
        <v>0</v>
      </c>
      <c r="J29" s="32" t="str">
        <f t="shared" si="8"/>
        <v>Yes</v>
      </c>
      <c r="K29" s="3">
        <v>1</v>
      </c>
      <c r="L29" s="3">
        <v>0.99959838689099312</v>
      </c>
      <c r="M29" s="3">
        <v>0.76448575564581811</v>
      </c>
      <c r="N29" s="3">
        <v>0.85994544996355726</v>
      </c>
      <c r="O29" s="32" t="str">
        <f t="shared" si="0"/>
        <v>No</v>
      </c>
      <c r="Q29" s="49">
        <f>IF(ISNUMBER(MATCH(C29, 'Credit Ratings'!$E$3:$E$48, 0)), 1, 0)</f>
        <v>1</v>
      </c>
      <c r="R29" s="49">
        <f t="shared" si="1"/>
        <v>1</v>
      </c>
      <c r="S29" s="49">
        <f t="shared" si="9"/>
        <v>1</v>
      </c>
      <c r="T29" s="49">
        <f t="shared" si="2"/>
        <v>1</v>
      </c>
      <c r="U29" s="49">
        <f t="shared" si="3"/>
        <v>1</v>
      </c>
      <c r="V29" s="49">
        <f t="shared" si="4"/>
        <v>0</v>
      </c>
      <c r="W29" s="49">
        <f t="shared" si="5"/>
        <v>1</v>
      </c>
      <c r="Y29" s="48" t="s">
        <v>166</v>
      </c>
    </row>
    <row r="30" spans="1:25" x14ac:dyDescent="0.35">
      <c r="A30" s="36" t="s">
        <v>81</v>
      </c>
      <c r="B30" s="37" t="s">
        <v>27</v>
      </c>
      <c r="C30" s="32" t="s">
        <v>95</v>
      </c>
      <c r="D30" s="32" t="s">
        <v>13</v>
      </c>
      <c r="E30" s="38">
        <v>7283.7659999999996</v>
      </c>
      <c r="F30" s="39">
        <v>0</v>
      </c>
      <c r="G30" s="39">
        <v>0</v>
      </c>
      <c r="H30" s="3">
        <f t="shared" si="6"/>
        <v>0</v>
      </c>
      <c r="I30" s="3">
        <f t="shared" si="7"/>
        <v>0</v>
      </c>
      <c r="J30" s="32" t="str">
        <f t="shared" si="8"/>
        <v>No</v>
      </c>
      <c r="K30" s="3">
        <v>1</v>
      </c>
      <c r="L30" s="3">
        <v>1</v>
      </c>
      <c r="M30" s="3">
        <v>1</v>
      </c>
      <c r="N30" s="3">
        <v>1</v>
      </c>
      <c r="O30" s="32" t="str">
        <f t="shared" si="0"/>
        <v>No</v>
      </c>
      <c r="Q30" s="49">
        <f>IF(ISNUMBER(MATCH(C30, 'Credit Ratings'!$E$3:$E$48, 0)), 1, 0)</f>
        <v>1</v>
      </c>
      <c r="R30" s="49">
        <f t="shared" si="1"/>
        <v>1</v>
      </c>
      <c r="S30" s="49">
        <f t="shared" si="9"/>
        <v>0</v>
      </c>
      <c r="T30" s="49">
        <f t="shared" si="2"/>
        <v>1</v>
      </c>
      <c r="U30" s="49">
        <f t="shared" si="3"/>
        <v>1</v>
      </c>
      <c r="V30" s="49">
        <f t="shared" si="4"/>
        <v>1</v>
      </c>
      <c r="W30" s="49">
        <f t="shared" si="5"/>
        <v>1</v>
      </c>
      <c r="Y30" s="48" t="s">
        <v>176</v>
      </c>
    </row>
    <row r="31" spans="1:25" x14ac:dyDescent="0.35">
      <c r="A31" s="36" t="s">
        <v>66</v>
      </c>
      <c r="B31" s="37" t="s">
        <v>67</v>
      </c>
      <c r="C31" s="32" t="s">
        <v>93</v>
      </c>
      <c r="D31" s="32" t="s">
        <v>13</v>
      </c>
      <c r="E31" s="38">
        <v>1228.6384</v>
      </c>
      <c r="F31" s="39">
        <v>4.1400000000000006</v>
      </c>
      <c r="G31" s="39">
        <v>0</v>
      </c>
      <c r="H31" s="3">
        <f t="shared" si="6"/>
        <v>3.369583760364319E-3</v>
      </c>
      <c r="I31" s="3">
        <f t="shared" si="7"/>
        <v>0</v>
      </c>
      <c r="J31" s="32" t="str">
        <f t="shared" si="8"/>
        <v>No</v>
      </c>
      <c r="K31" s="3">
        <v>0.38742699989780593</v>
      </c>
      <c r="L31" s="3">
        <v>0.29029370234282575</v>
      </c>
      <c r="M31" s="3">
        <v>1</v>
      </c>
      <c r="N31" s="3">
        <v>1</v>
      </c>
      <c r="O31" s="32" t="str">
        <f t="shared" si="0"/>
        <v>No</v>
      </c>
      <c r="Q31" s="49">
        <f>IF(ISNUMBER(MATCH(C31, 'Credit Ratings'!$E$3:$E$48, 0)), 1, 0)</f>
        <v>1</v>
      </c>
      <c r="R31" s="49">
        <f t="shared" si="1"/>
        <v>1</v>
      </c>
      <c r="S31" s="49">
        <f t="shared" si="9"/>
        <v>0</v>
      </c>
      <c r="T31" s="49">
        <f t="shared" si="2"/>
        <v>0</v>
      </c>
      <c r="U31" s="49">
        <f t="shared" si="3"/>
        <v>0</v>
      </c>
      <c r="V31" s="49">
        <f t="shared" si="4"/>
        <v>1</v>
      </c>
      <c r="W31" s="49">
        <f t="shared" si="5"/>
        <v>1</v>
      </c>
      <c r="Y31" s="48" t="s">
        <v>66</v>
      </c>
    </row>
    <row r="32" spans="1:25" x14ac:dyDescent="0.35">
      <c r="A32" s="36" t="s">
        <v>68</v>
      </c>
      <c r="B32" s="37" t="s">
        <v>69</v>
      </c>
      <c r="C32" s="32" t="s">
        <v>98</v>
      </c>
      <c r="D32" s="32" t="s">
        <v>13</v>
      </c>
      <c r="E32" s="38">
        <v>7657.0999999999985</v>
      </c>
      <c r="F32" s="39">
        <v>2544.0600000000004</v>
      </c>
      <c r="G32" s="39">
        <v>2240</v>
      </c>
      <c r="H32" s="3">
        <f t="shared" si="6"/>
        <v>0.33224850139086609</v>
      </c>
      <c r="I32" s="3">
        <f t="shared" si="7"/>
        <v>0.29253895077770964</v>
      </c>
      <c r="J32" s="32" t="str">
        <f t="shared" si="8"/>
        <v>Yes</v>
      </c>
      <c r="K32" s="3">
        <v>1</v>
      </c>
      <c r="L32" s="3">
        <v>1</v>
      </c>
      <c r="M32" s="3">
        <v>0.71244011241742233</v>
      </c>
      <c r="N32" s="3">
        <v>0.58093472178941463</v>
      </c>
      <c r="O32" s="32" t="str">
        <f t="shared" si="0"/>
        <v>No</v>
      </c>
      <c r="Q32" s="49">
        <f>IF(ISNUMBER(MATCH(C32, 'Credit Ratings'!$E$3:$E$48, 0)), 1, 0)</f>
        <v>0</v>
      </c>
      <c r="R32" s="49">
        <f t="shared" si="1"/>
        <v>1</v>
      </c>
      <c r="S32" s="49">
        <f t="shared" si="9"/>
        <v>1</v>
      </c>
      <c r="T32" s="49">
        <f t="shared" si="2"/>
        <v>1</v>
      </c>
      <c r="U32" s="49">
        <f t="shared" si="3"/>
        <v>1</v>
      </c>
      <c r="V32" s="49">
        <f t="shared" si="4"/>
        <v>0</v>
      </c>
      <c r="W32" s="49">
        <f t="shared" si="5"/>
        <v>0</v>
      </c>
      <c r="Y32" s="48" t="s">
        <v>68</v>
      </c>
    </row>
    <row r="33" spans="1:25" x14ac:dyDescent="0.35">
      <c r="A33" s="36" t="s">
        <v>28</v>
      </c>
      <c r="B33" s="37" t="s">
        <v>29</v>
      </c>
      <c r="C33" s="32" t="s">
        <v>95</v>
      </c>
      <c r="D33" s="32" t="s">
        <v>13</v>
      </c>
      <c r="E33" s="38">
        <v>6370.9916000000003</v>
      </c>
      <c r="F33" s="39">
        <v>0</v>
      </c>
      <c r="G33" s="39">
        <v>1164.873</v>
      </c>
      <c r="H33" s="3">
        <f t="shared" si="6"/>
        <v>0</v>
      </c>
      <c r="I33" s="3">
        <f t="shared" si="7"/>
        <v>0.18284014061484558</v>
      </c>
      <c r="J33" s="32" t="str">
        <f t="shared" si="8"/>
        <v>Yes</v>
      </c>
      <c r="K33" s="3">
        <v>1</v>
      </c>
      <c r="L33" s="3">
        <v>1</v>
      </c>
      <c r="M33" s="3">
        <v>1</v>
      </c>
      <c r="N33" s="3">
        <v>1</v>
      </c>
      <c r="O33" s="32" t="str">
        <f t="shared" si="0"/>
        <v>Yes</v>
      </c>
      <c r="Q33" s="49">
        <f>IF(ISNUMBER(MATCH(C33, 'Credit Ratings'!$E$3:$E$48, 0)), 1, 0)</f>
        <v>1</v>
      </c>
      <c r="R33" s="49">
        <f t="shared" si="1"/>
        <v>1</v>
      </c>
      <c r="S33" s="49">
        <f t="shared" si="9"/>
        <v>1</v>
      </c>
      <c r="T33" s="49">
        <f t="shared" si="2"/>
        <v>1</v>
      </c>
      <c r="U33" s="49">
        <f t="shared" si="3"/>
        <v>1</v>
      </c>
      <c r="V33" s="49">
        <f t="shared" si="4"/>
        <v>1</v>
      </c>
      <c r="W33" s="49">
        <f t="shared" si="5"/>
        <v>1</v>
      </c>
      <c r="Y33" s="48" t="s">
        <v>28</v>
      </c>
    </row>
    <row r="34" spans="1:25" x14ac:dyDescent="0.35">
      <c r="A34" s="36" t="s">
        <v>82</v>
      </c>
      <c r="B34" s="37" t="s">
        <v>84</v>
      </c>
      <c r="C34" s="32" t="s">
        <v>93</v>
      </c>
      <c r="D34" s="32" t="s">
        <v>13</v>
      </c>
      <c r="E34" s="38">
        <v>1606.1330699999999</v>
      </c>
      <c r="F34" s="39">
        <v>0</v>
      </c>
      <c r="G34" s="39">
        <v>302.58677</v>
      </c>
      <c r="H34" s="3">
        <f t="shared" si="6"/>
        <v>0</v>
      </c>
      <c r="I34" s="3">
        <f t="shared" si="7"/>
        <v>0.18839458302169199</v>
      </c>
      <c r="J34" s="32" t="str">
        <f t="shared" si="8"/>
        <v>Yes</v>
      </c>
      <c r="K34" s="3">
        <v>1</v>
      </c>
      <c r="L34" s="3">
        <v>1</v>
      </c>
      <c r="M34" s="3">
        <v>1</v>
      </c>
      <c r="N34" s="3">
        <v>1</v>
      </c>
      <c r="O34" s="32" t="str">
        <f t="shared" si="0"/>
        <v>Yes</v>
      </c>
      <c r="Q34" s="49">
        <f>IF(ISNUMBER(MATCH(C34, 'Credit Ratings'!$E$3:$E$48, 0)), 1, 0)</f>
        <v>1</v>
      </c>
      <c r="R34" s="49">
        <f t="shared" si="1"/>
        <v>1</v>
      </c>
      <c r="S34" s="49">
        <f t="shared" si="9"/>
        <v>1</v>
      </c>
      <c r="T34" s="49">
        <f t="shared" si="2"/>
        <v>1</v>
      </c>
      <c r="U34" s="49">
        <f t="shared" si="3"/>
        <v>1</v>
      </c>
      <c r="V34" s="49">
        <f t="shared" si="4"/>
        <v>1</v>
      </c>
      <c r="W34" s="49">
        <f t="shared" si="5"/>
        <v>1</v>
      </c>
      <c r="Y34" s="48" t="s">
        <v>82</v>
      </c>
    </row>
    <row r="35" spans="1:25" x14ac:dyDescent="0.35">
      <c r="A35" s="36" t="s">
        <v>30</v>
      </c>
      <c r="B35" s="37" t="s">
        <v>31</v>
      </c>
      <c r="C35" s="32" t="s">
        <v>95</v>
      </c>
      <c r="D35" s="32" t="s">
        <v>13</v>
      </c>
      <c r="E35" s="38">
        <v>3792.3061000000002</v>
      </c>
      <c r="F35" s="39">
        <v>435.35610000000003</v>
      </c>
      <c r="G35" s="39">
        <v>0</v>
      </c>
      <c r="H35" s="3">
        <f t="shared" si="6"/>
        <v>0.11479983116341795</v>
      </c>
      <c r="I35" s="3">
        <f t="shared" si="7"/>
        <v>0</v>
      </c>
      <c r="J35" s="32" t="str">
        <f t="shared" si="8"/>
        <v>No</v>
      </c>
      <c r="K35" s="3">
        <v>1</v>
      </c>
      <c r="L35" s="3">
        <v>1</v>
      </c>
      <c r="M35" s="3">
        <v>1</v>
      </c>
      <c r="N35" s="3">
        <v>1</v>
      </c>
      <c r="O35" s="32" t="str">
        <f t="shared" si="0"/>
        <v>No</v>
      </c>
      <c r="Q35" s="49">
        <f>IF(ISNUMBER(MATCH(C35, 'Credit Ratings'!$E$3:$E$48, 0)), 1, 0)</f>
        <v>1</v>
      </c>
      <c r="R35" s="49">
        <f t="shared" si="1"/>
        <v>1</v>
      </c>
      <c r="S35" s="49">
        <f t="shared" si="9"/>
        <v>0</v>
      </c>
      <c r="T35" s="49">
        <f t="shared" si="2"/>
        <v>1</v>
      </c>
      <c r="U35" s="49">
        <f t="shared" si="3"/>
        <v>1</v>
      </c>
      <c r="V35" s="49">
        <f t="shared" si="4"/>
        <v>1</v>
      </c>
      <c r="W35" s="49">
        <f t="shared" si="5"/>
        <v>1</v>
      </c>
      <c r="Y35" s="48" t="s">
        <v>30</v>
      </c>
    </row>
    <row r="36" spans="1:25" x14ac:dyDescent="0.35">
      <c r="A36" s="36" t="s">
        <v>70</v>
      </c>
      <c r="B36" s="37" t="s">
        <v>71</v>
      </c>
      <c r="C36" s="32" t="s">
        <v>94</v>
      </c>
      <c r="D36" s="32" t="s">
        <v>13</v>
      </c>
      <c r="E36" s="38">
        <v>8075.2075700000005</v>
      </c>
      <c r="F36" s="39">
        <v>132.30000000000001</v>
      </c>
      <c r="G36" s="39">
        <v>0</v>
      </c>
      <c r="H36" s="3">
        <f t="shared" si="6"/>
        <v>1.6383479787133198E-2</v>
      </c>
      <c r="I36" s="3">
        <f t="shared" si="7"/>
        <v>0</v>
      </c>
      <c r="J36" s="32" t="str">
        <f t="shared" si="8"/>
        <v>No</v>
      </c>
      <c r="K36" s="3">
        <v>0.99898967882710143</v>
      </c>
      <c r="L36" s="3">
        <v>1</v>
      </c>
      <c r="M36" s="3">
        <v>0.94190919461632883</v>
      </c>
      <c r="N36" s="3">
        <v>0.94282720367504158</v>
      </c>
      <c r="O36" s="32" t="str">
        <f t="shared" si="0"/>
        <v>No</v>
      </c>
      <c r="Q36" s="49">
        <f>IF(ISNUMBER(MATCH(C36, 'Credit Ratings'!$E$3:$E$48, 0)), 1, 0)</f>
        <v>1</v>
      </c>
      <c r="R36" s="49">
        <f t="shared" si="1"/>
        <v>1</v>
      </c>
      <c r="S36" s="49">
        <f t="shared" si="9"/>
        <v>0</v>
      </c>
      <c r="T36" s="49">
        <f t="shared" si="2"/>
        <v>1</v>
      </c>
      <c r="U36" s="49">
        <f t="shared" si="3"/>
        <v>1</v>
      </c>
      <c r="V36" s="49">
        <f t="shared" si="4"/>
        <v>1</v>
      </c>
      <c r="W36" s="49">
        <f t="shared" si="5"/>
        <v>1</v>
      </c>
      <c r="Y36" s="48" t="s">
        <v>70</v>
      </c>
    </row>
    <row r="37" spans="1:25" x14ac:dyDescent="0.35">
      <c r="A37" s="36" t="s">
        <v>72</v>
      </c>
      <c r="B37" s="37" t="s">
        <v>73</v>
      </c>
      <c r="C37" s="32" t="s">
        <v>95</v>
      </c>
      <c r="D37" s="32" t="s">
        <v>13</v>
      </c>
      <c r="E37" s="38">
        <v>86.97999999999999</v>
      </c>
      <c r="F37" s="39">
        <v>0</v>
      </c>
      <c r="G37" s="39">
        <v>0</v>
      </c>
      <c r="H37" s="3">
        <f t="shared" si="6"/>
        <v>0</v>
      </c>
      <c r="I37" s="3">
        <f t="shared" si="7"/>
        <v>0</v>
      </c>
      <c r="J37" s="32" t="str">
        <f t="shared" si="8"/>
        <v>No</v>
      </c>
      <c r="K37" s="3">
        <v>0.77518023346504517</v>
      </c>
      <c r="L37" s="3">
        <v>0.83573697405642644</v>
      </c>
      <c r="M37" s="3">
        <v>0.72144096245992595</v>
      </c>
      <c r="N37" s="3">
        <v>0.78457195411485225</v>
      </c>
      <c r="O37" s="32" t="str">
        <f t="shared" si="0"/>
        <v>No</v>
      </c>
      <c r="Q37" s="49">
        <f>IF(ISNUMBER(MATCH(C37, 'Credit Ratings'!$E$3:$E$48, 0)), 1, 0)</f>
        <v>1</v>
      </c>
      <c r="R37" s="49">
        <f t="shared" si="1"/>
        <v>1</v>
      </c>
      <c r="S37" s="49">
        <f t="shared" si="9"/>
        <v>0</v>
      </c>
      <c r="T37" s="49">
        <f t="shared" si="2"/>
        <v>1</v>
      </c>
      <c r="U37" s="49">
        <f t="shared" si="3"/>
        <v>1</v>
      </c>
      <c r="V37" s="49">
        <f t="shared" si="4"/>
        <v>0</v>
      </c>
      <c r="W37" s="49">
        <f t="shared" si="5"/>
        <v>0</v>
      </c>
      <c r="Y37" s="48" t="s">
        <v>173</v>
      </c>
    </row>
    <row r="38" spans="1:25" x14ac:dyDescent="0.35">
      <c r="A38" s="36" t="s">
        <v>74</v>
      </c>
      <c r="B38" s="37" t="s">
        <v>75</v>
      </c>
      <c r="C38" s="32" t="s">
        <v>95</v>
      </c>
      <c r="D38" s="32" t="s">
        <v>13</v>
      </c>
      <c r="E38" s="38">
        <v>1689.7</v>
      </c>
      <c r="F38" s="39">
        <v>0</v>
      </c>
      <c r="G38" s="39">
        <v>0</v>
      </c>
      <c r="H38" s="3">
        <f t="shared" si="6"/>
        <v>0</v>
      </c>
      <c r="I38" s="3">
        <f t="shared" si="7"/>
        <v>0</v>
      </c>
      <c r="J38" s="32" t="str">
        <f t="shared" si="8"/>
        <v>No</v>
      </c>
      <c r="K38" s="3">
        <v>0.88319974878988416</v>
      </c>
      <c r="L38" s="3">
        <v>0.81467482743623043</v>
      </c>
      <c r="M38" s="3">
        <v>0.53609238456784325</v>
      </c>
      <c r="N38" s="3">
        <v>0.50801071026172206</v>
      </c>
      <c r="O38" s="32" t="str">
        <f t="shared" si="0"/>
        <v>No</v>
      </c>
      <c r="Q38" s="49">
        <f>IF(ISNUMBER(MATCH(C38, 'Credit Ratings'!$E$3:$E$48, 0)), 1, 0)</f>
        <v>1</v>
      </c>
      <c r="R38" s="49">
        <f t="shared" si="1"/>
        <v>1</v>
      </c>
      <c r="S38" s="49">
        <f t="shared" si="9"/>
        <v>0</v>
      </c>
      <c r="T38" s="49">
        <f t="shared" si="2"/>
        <v>1</v>
      </c>
      <c r="U38" s="49">
        <f t="shared" si="3"/>
        <v>1</v>
      </c>
      <c r="V38" s="49">
        <f t="shared" si="4"/>
        <v>0</v>
      </c>
      <c r="W38" s="49">
        <f t="shared" si="5"/>
        <v>0</v>
      </c>
      <c r="Y38" s="48" t="s">
        <v>175</v>
      </c>
    </row>
    <row r="39" spans="1:25" x14ac:dyDescent="0.35">
      <c r="A39" s="36" t="s">
        <v>76</v>
      </c>
      <c r="B39" s="37" t="s">
        <v>77</v>
      </c>
      <c r="C39" s="32" t="s">
        <v>94</v>
      </c>
      <c r="D39" s="32" t="s">
        <v>13</v>
      </c>
      <c r="E39" s="38">
        <v>33460.603680000015</v>
      </c>
      <c r="F39" s="39">
        <v>2410.8200000000006</v>
      </c>
      <c r="G39" s="39">
        <v>4742.4690000000001</v>
      </c>
      <c r="H39" s="3">
        <f t="shared" si="6"/>
        <v>7.2049507027901888E-2</v>
      </c>
      <c r="I39" s="3">
        <f t="shared" si="7"/>
        <v>0.14173291807148883</v>
      </c>
      <c r="J39" s="32" t="str">
        <f t="shared" si="8"/>
        <v>Yes</v>
      </c>
      <c r="K39" s="3">
        <v>0.9093587206866437</v>
      </c>
      <c r="L39" s="3">
        <v>0.95766527193083417</v>
      </c>
      <c r="M39" s="3">
        <v>0.79587686315617712</v>
      </c>
      <c r="N39" s="3">
        <v>0.84674556289475056</v>
      </c>
      <c r="O39" s="32" t="str">
        <f t="shared" si="0"/>
        <v>Yes</v>
      </c>
      <c r="Q39" s="49">
        <f>IF(ISNUMBER(MATCH(C39, 'Credit Ratings'!$E$3:$E$48, 0)), 1, 0)</f>
        <v>1</v>
      </c>
      <c r="R39" s="49">
        <f t="shared" si="1"/>
        <v>1</v>
      </c>
      <c r="S39" s="49">
        <f t="shared" si="9"/>
        <v>1</v>
      </c>
      <c r="T39" s="49">
        <f t="shared" ref="T39:T49" si="10">IF(AND(ISNUMBER(K39), K39&gt;T$4), 1, 0)</f>
        <v>1</v>
      </c>
      <c r="U39" s="49">
        <f t="shared" ref="U39:U49" si="11">IF(AND(ISNUMBER(L39), L39&gt;U$4), 1, 0)</f>
        <v>1</v>
      </c>
      <c r="V39" s="49">
        <v>1</v>
      </c>
      <c r="W39" s="49">
        <f>IF(AND(ISNUMBER(N39), N39&gt;W$4), 1, 0)</f>
        <v>1</v>
      </c>
      <c r="Y39" s="48" t="s">
        <v>169</v>
      </c>
    </row>
    <row r="40" spans="1:25" x14ac:dyDescent="0.35">
      <c r="A40" s="36" t="s">
        <v>83</v>
      </c>
      <c r="B40" s="37" t="s">
        <v>85</v>
      </c>
      <c r="C40" s="32" t="s">
        <v>95</v>
      </c>
      <c r="D40" s="32" t="s">
        <v>14</v>
      </c>
      <c r="E40" s="38">
        <v>1.3</v>
      </c>
      <c r="F40" s="39">
        <v>0</v>
      </c>
      <c r="G40" s="39">
        <v>0</v>
      </c>
      <c r="H40" s="3">
        <f t="shared" si="6"/>
        <v>0</v>
      </c>
      <c r="I40" s="3">
        <f t="shared" si="7"/>
        <v>0</v>
      </c>
      <c r="J40" s="32" t="str">
        <f t="shared" si="8"/>
        <v>No</v>
      </c>
      <c r="K40" s="3">
        <v>1</v>
      </c>
      <c r="L40" s="3">
        <v>1</v>
      </c>
      <c r="M40" s="3">
        <v>0.52697706801185429</v>
      </c>
      <c r="N40" s="3">
        <v>0.34032500341065769</v>
      </c>
      <c r="O40" s="32" t="str">
        <f t="shared" si="0"/>
        <v>No</v>
      </c>
      <c r="Q40" s="49">
        <f>IF(ISNUMBER(MATCH(C40, 'Credit Ratings'!$E$3:$E$48, 0)), 1, 0)</f>
        <v>1</v>
      </c>
      <c r="R40" s="49">
        <f t="shared" si="1"/>
        <v>0</v>
      </c>
      <c r="S40" s="49">
        <f t="shared" si="9"/>
        <v>0</v>
      </c>
      <c r="T40" s="49">
        <f t="shared" si="10"/>
        <v>1</v>
      </c>
      <c r="U40" s="49">
        <f t="shared" si="11"/>
        <v>1</v>
      </c>
      <c r="V40" s="49">
        <f t="shared" ref="V40:V49" si="12">IF(AND(ISNUMBER(M40), M40&gt;V$4), 1, 0)</f>
        <v>0</v>
      </c>
      <c r="W40" s="49">
        <f>IF(AND(ISNUMBER(N40), N40&gt;W$4), 1, 0)</f>
        <v>0</v>
      </c>
      <c r="Y40" s="48" t="s">
        <v>83</v>
      </c>
    </row>
    <row r="41" spans="1:25" x14ac:dyDescent="0.35">
      <c r="A41" s="36" t="s">
        <v>78</v>
      </c>
      <c r="B41" s="37" t="s">
        <v>79</v>
      </c>
      <c r="C41" s="32" t="s">
        <v>94</v>
      </c>
      <c r="D41" s="32" t="s">
        <v>13</v>
      </c>
      <c r="E41" s="38">
        <v>9320.5447440000007</v>
      </c>
      <c r="F41" s="39">
        <v>169.50000000000003</v>
      </c>
      <c r="G41" s="39">
        <v>0</v>
      </c>
      <c r="H41" s="3">
        <f t="shared" si="6"/>
        <v>1.8185632348271683E-2</v>
      </c>
      <c r="I41" s="3">
        <f t="shared" si="7"/>
        <v>0</v>
      </c>
      <c r="J41" s="32" t="str">
        <f t="shared" si="8"/>
        <v>No</v>
      </c>
      <c r="K41" s="3">
        <v>0.98002389221888153</v>
      </c>
      <c r="L41" s="3">
        <v>0.97557561777616308</v>
      </c>
      <c r="M41" s="3">
        <v>0.56262895436422478</v>
      </c>
      <c r="N41" s="3">
        <v>0.5730873128577173</v>
      </c>
      <c r="O41" s="32" t="str">
        <f t="shared" si="0"/>
        <v>No</v>
      </c>
      <c r="Q41" s="49">
        <f>IF(ISNUMBER(MATCH(C41, 'Credit Ratings'!$E$3:$E$48, 0)), 1, 0)</f>
        <v>1</v>
      </c>
      <c r="R41" s="49">
        <f t="shared" si="1"/>
        <v>1</v>
      </c>
      <c r="S41" s="49">
        <f t="shared" si="9"/>
        <v>0</v>
      </c>
      <c r="T41" s="49">
        <f t="shared" si="10"/>
        <v>1</v>
      </c>
      <c r="U41" s="49">
        <f t="shared" si="11"/>
        <v>1</v>
      </c>
      <c r="V41" s="49">
        <f t="shared" si="12"/>
        <v>0</v>
      </c>
      <c r="W41" s="49">
        <f>IF(AND(ISNUMBER(N41), N41&gt;W$4), 1, 0)</f>
        <v>0</v>
      </c>
      <c r="Y41" s="48" t="s">
        <v>167</v>
      </c>
    </row>
    <row r="42" spans="1:25" x14ac:dyDescent="0.35">
      <c r="A42" s="36" t="s">
        <v>42</v>
      </c>
      <c r="B42" s="37" t="s">
        <v>43</v>
      </c>
      <c r="C42" s="32" t="s">
        <v>95</v>
      </c>
      <c r="D42" s="37" t="s">
        <v>13</v>
      </c>
      <c r="E42" s="38">
        <v>21834.92348999999</v>
      </c>
      <c r="F42" s="39">
        <v>219.19999999999993</v>
      </c>
      <c r="G42" s="39">
        <v>1738</v>
      </c>
      <c r="H42" s="3">
        <f t="shared" si="6"/>
        <v>1.0038963502683655E-2</v>
      </c>
      <c r="I42" s="3">
        <f t="shared" si="7"/>
        <v>7.9597256239343966E-2</v>
      </c>
      <c r="J42" s="32" t="str">
        <f t="shared" si="8"/>
        <v>No</v>
      </c>
      <c r="K42" s="3">
        <v>0.99418439828461047</v>
      </c>
      <c r="L42" s="3">
        <v>1</v>
      </c>
      <c r="M42" s="3">
        <v>0.81380943522546068</v>
      </c>
      <c r="N42" s="3">
        <v>0.84500740088770065</v>
      </c>
      <c r="O42" s="32" t="str">
        <f t="shared" si="0"/>
        <v>No</v>
      </c>
      <c r="Q42" s="49">
        <f>IF(ISNUMBER(MATCH(C42, 'Credit Ratings'!$E$3:$E$48, 0)), 1, 0)</f>
        <v>1</v>
      </c>
      <c r="R42" s="49">
        <f t="shared" si="1"/>
        <v>1</v>
      </c>
      <c r="S42" s="49">
        <f t="shared" si="9"/>
        <v>0</v>
      </c>
      <c r="T42" s="49">
        <f t="shared" si="10"/>
        <v>1</v>
      </c>
      <c r="U42" s="49">
        <f t="shared" si="11"/>
        <v>1</v>
      </c>
      <c r="V42" s="49">
        <f t="shared" si="12"/>
        <v>1</v>
      </c>
      <c r="W42" s="49">
        <f>IF(AND(ISNUMBER(N42), N42&gt;W$4), 1, 0)</f>
        <v>1</v>
      </c>
      <c r="Y42" s="48" t="s">
        <v>42</v>
      </c>
    </row>
    <row r="43" spans="1:25" x14ac:dyDescent="0.35">
      <c r="A43" s="36" t="s">
        <v>145</v>
      </c>
      <c r="B43" s="37" t="s">
        <v>146</v>
      </c>
      <c r="C43" s="32" t="s">
        <v>93</v>
      </c>
      <c r="D43" s="37" t="s">
        <v>144</v>
      </c>
      <c r="E43" s="38">
        <v>1299.6880000000001</v>
      </c>
      <c r="F43" s="39">
        <v>16</v>
      </c>
      <c r="G43" s="39">
        <v>0</v>
      </c>
      <c r="H43" s="3">
        <f t="shared" si="6"/>
        <v>1.2310646862939412E-2</v>
      </c>
      <c r="I43" s="3">
        <f t="shared" si="7"/>
        <v>0</v>
      </c>
      <c r="J43" s="32" t="str">
        <f t="shared" si="8"/>
        <v>No</v>
      </c>
      <c r="K43" s="3">
        <v>0.98489536000690925</v>
      </c>
      <c r="L43" s="3">
        <v>0.99099512700473835</v>
      </c>
      <c r="M43" s="3">
        <f>_xlfn.XLOOKUP(B43&amp;"Electric"&amp;"Regulated"&amp;"Revenue", 'Canadian Business Segment Data'!Y:Y, 'Canadian Business Segment Data'!Z:Z)</f>
        <v>0.56029240741085751</v>
      </c>
      <c r="N43" s="3">
        <f>_xlfn.XLOOKUP(B43&amp;"Electric"&amp;"Regulated"&amp;"Operating Income", 'Canadian Business Segment Data'!Y:Y, 'Canadian Business Segment Data'!Z:Z)</f>
        <v>0.54355560829108784</v>
      </c>
      <c r="O43" s="32" t="s">
        <v>14</v>
      </c>
      <c r="Q43" s="49">
        <f>IF(ISNUMBER(MATCH(C43, 'Credit Ratings'!$E$3:$E$48, 0)), 1, 0)</f>
        <v>1</v>
      </c>
      <c r="R43" s="49">
        <f t="shared" si="1"/>
        <v>0</v>
      </c>
      <c r="S43" s="49">
        <f t="shared" ref="S43:S49" si="13">IF(J43="Yes", 1, 0)</f>
        <v>0</v>
      </c>
      <c r="T43" s="49">
        <f t="shared" si="10"/>
        <v>1</v>
      </c>
      <c r="U43" s="49">
        <f t="shared" si="11"/>
        <v>1</v>
      </c>
      <c r="V43" s="49">
        <f t="shared" si="12"/>
        <v>0</v>
      </c>
      <c r="W43" s="49">
        <v>1</v>
      </c>
      <c r="Y43" s="48" t="s">
        <v>174</v>
      </c>
    </row>
    <row r="44" spans="1:25" x14ac:dyDescent="0.35">
      <c r="A44" s="36" t="s">
        <v>147</v>
      </c>
      <c r="B44" s="37" t="s">
        <v>148</v>
      </c>
      <c r="C44" s="32" t="s">
        <v>111</v>
      </c>
      <c r="D44" s="37" t="s">
        <v>144</v>
      </c>
      <c r="E44" s="38">
        <v>10</v>
      </c>
      <c r="F44" s="39">
        <v>0</v>
      </c>
      <c r="G44" s="39">
        <v>0</v>
      </c>
      <c r="H44" s="3">
        <f t="shared" si="6"/>
        <v>0</v>
      </c>
      <c r="I44" s="3">
        <f t="shared" si="7"/>
        <v>0</v>
      </c>
      <c r="J44" s="32" t="str">
        <f t="shared" si="8"/>
        <v>No</v>
      </c>
      <c r="K44" s="3">
        <v>0.36063865576003123</v>
      </c>
      <c r="L44" s="3">
        <v>0.53566031710528783</v>
      </c>
      <c r="M44" s="3">
        <f>_xlfn.XLOOKUP(B44&amp;"Electric"&amp;"Regulated"&amp;"Revenue", 'Canadian Business Segment Data'!Y:Y, 'Canadian Business Segment Data'!Z:Z)</f>
        <v>0</v>
      </c>
      <c r="N44" s="3">
        <f>_xlfn.XLOOKUP(B44&amp;"Electric"&amp;"Regulated"&amp;"Operating Income", 'Canadian Business Segment Data'!Y:Y, 'Canadian Business Segment Data'!Z:Z)</f>
        <v>0</v>
      </c>
      <c r="O44" s="32" t="str">
        <f>IF(SUM(Q44:W44)=7, "Yes", "No")</f>
        <v>No</v>
      </c>
      <c r="Q44" s="49">
        <f>IF(ISNUMBER(MATCH(C44, 'Credit Ratings'!$E$3:$E$48, 0)), 1, 0)</f>
        <v>1</v>
      </c>
      <c r="R44" s="49">
        <f t="shared" si="1"/>
        <v>0</v>
      </c>
      <c r="S44" s="49">
        <f t="shared" si="13"/>
        <v>0</v>
      </c>
      <c r="T44" s="49">
        <f t="shared" si="10"/>
        <v>0</v>
      </c>
      <c r="U44" s="49">
        <f t="shared" si="11"/>
        <v>0</v>
      </c>
      <c r="V44" s="49">
        <f t="shared" si="12"/>
        <v>0</v>
      </c>
      <c r="W44" s="49">
        <f>IF(AND(ISNUMBER(N44), N44&gt;W$4), 1, 0)</f>
        <v>0</v>
      </c>
      <c r="Y44" s="48" t="s">
        <v>172</v>
      </c>
    </row>
    <row r="45" spans="1:25" x14ac:dyDescent="0.35">
      <c r="A45" s="36" t="s">
        <v>149</v>
      </c>
      <c r="B45" s="37" t="s">
        <v>150</v>
      </c>
      <c r="C45" s="32" t="s">
        <v>121</v>
      </c>
      <c r="D45" s="37" t="s">
        <v>14</v>
      </c>
      <c r="E45" s="38">
        <v>0</v>
      </c>
      <c r="F45" s="39">
        <v>0</v>
      </c>
      <c r="G45" s="39">
        <v>0</v>
      </c>
      <c r="H45" s="3">
        <f t="shared" si="6"/>
        <v>0</v>
      </c>
      <c r="I45" s="3">
        <f t="shared" si="7"/>
        <v>0</v>
      </c>
      <c r="J45" s="32" t="str">
        <f t="shared" si="8"/>
        <v>No</v>
      </c>
      <c r="K45" s="3">
        <v>0.85114414078134426</v>
      </c>
      <c r="L45" s="3">
        <v>0.86804648625415348</v>
      </c>
      <c r="M45" s="3">
        <f>_xlfn.XLOOKUP(B45&amp;"Electric"&amp;"Regulated"&amp;"Revenue", 'Canadian Business Segment Data'!Y:Y, 'Canadian Business Segment Data'!Z:Z)</f>
        <v>0.50951638900232243</v>
      </c>
      <c r="N45" s="3">
        <f>_xlfn.XLOOKUP(B45&amp;"Electric"&amp;"Regulated"&amp;"Operating Income", 'Canadian Business Segment Data'!Y:Y, 'Canadian Business Segment Data'!Z:Z)</f>
        <v>0.57308204688478193</v>
      </c>
      <c r="O45" s="32" t="str">
        <f>IF(SUM(Q45:W45)=7, "Yes", "No")</f>
        <v>No</v>
      </c>
      <c r="Q45" s="49">
        <f>IF(ISNUMBER(MATCH(C45, 'Credit Ratings'!$E$3:$E$48, 0)), 1, 0)</f>
        <v>0</v>
      </c>
      <c r="R45" s="49">
        <f t="shared" si="1"/>
        <v>0</v>
      </c>
      <c r="S45" s="49">
        <f t="shared" si="13"/>
        <v>0</v>
      </c>
      <c r="T45" s="49">
        <f t="shared" si="10"/>
        <v>1</v>
      </c>
      <c r="U45" s="49">
        <f t="shared" si="11"/>
        <v>1</v>
      </c>
      <c r="V45" s="49">
        <f t="shared" si="12"/>
        <v>0</v>
      </c>
      <c r="W45" s="49">
        <f>IF(AND(ISNUMBER(N45), N45&gt;W$4), 1, 0)</f>
        <v>0</v>
      </c>
      <c r="Y45" s="48" t="s">
        <v>149</v>
      </c>
    </row>
    <row r="46" spans="1:25" x14ac:dyDescent="0.35">
      <c r="A46" s="36" t="s">
        <v>151</v>
      </c>
      <c r="B46" s="37" t="s">
        <v>152</v>
      </c>
      <c r="C46" s="32" t="s">
        <v>93</v>
      </c>
      <c r="D46" s="37" t="s">
        <v>13</v>
      </c>
      <c r="E46" s="40">
        <v>8036.9</v>
      </c>
      <c r="F46" s="41">
        <v>0</v>
      </c>
      <c r="G46" s="41">
        <v>0</v>
      </c>
      <c r="H46" s="3">
        <f t="shared" si="6"/>
        <v>0</v>
      </c>
      <c r="I46" s="3">
        <f t="shared" si="7"/>
        <v>0</v>
      </c>
      <c r="J46" s="32" t="str">
        <f t="shared" si="8"/>
        <v>No</v>
      </c>
      <c r="K46" s="3">
        <v>0.96964745246704453</v>
      </c>
      <c r="L46" s="3">
        <v>0.9530611303183858</v>
      </c>
      <c r="M46" s="3">
        <f>_xlfn.XLOOKUP(B46&amp;"Electric"&amp;"Regulated"&amp;"Revenue", 'Canadian Business Segment Data'!Y:Y, 'Canadian Business Segment Data'!Z:Z)</f>
        <v>0.76231482837024622</v>
      </c>
      <c r="N46" s="3">
        <f>_xlfn.XLOOKUP(B46&amp;"Electric"&amp;"Regulated"&amp;"Operating Income", 'Canadian Business Segment Data'!Y:Y, 'Canadian Business Segment Data'!Z:Z)</f>
        <v>0.7917572454407672</v>
      </c>
      <c r="O46" s="32" t="s">
        <v>14</v>
      </c>
      <c r="Q46" s="49">
        <f>IF(ISNUMBER(MATCH(C46, 'Credit Ratings'!$E$3:$E$48, 0)), 1, 0)</f>
        <v>1</v>
      </c>
      <c r="R46" s="49">
        <f t="shared" si="1"/>
        <v>1</v>
      </c>
      <c r="S46" s="49">
        <f t="shared" si="13"/>
        <v>0</v>
      </c>
      <c r="T46" s="49">
        <f t="shared" si="10"/>
        <v>1</v>
      </c>
      <c r="U46" s="49">
        <f t="shared" si="11"/>
        <v>1</v>
      </c>
      <c r="V46" s="49">
        <f t="shared" si="12"/>
        <v>0</v>
      </c>
      <c r="W46" s="49">
        <v>1</v>
      </c>
      <c r="Y46" s="48" t="s">
        <v>170</v>
      </c>
    </row>
    <row r="47" spans="1:25" x14ac:dyDescent="0.35">
      <c r="A47" s="36" t="s">
        <v>153</v>
      </c>
      <c r="B47" s="37" t="s">
        <v>154</v>
      </c>
      <c r="C47" s="32" t="s">
        <v>95</v>
      </c>
      <c r="D47" s="37" t="s">
        <v>14</v>
      </c>
      <c r="E47" s="40">
        <v>26.002268000000004</v>
      </c>
      <c r="F47" s="41">
        <v>0</v>
      </c>
      <c r="G47" s="41">
        <v>0</v>
      </c>
      <c r="H47" s="3">
        <f t="shared" si="6"/>
        <v>0</v>
      </c>
      <c r="I47" s="3">
        <f t="shared" si="7"/>
        <v>0</v>
      </c>
      <c r="J47" s="32" t="str">
        <f t="shared" si="8"/>
        <v>No</v>
      </c>
      <c r="K47" s="3">
        <v>0.95094557976949279</v>
      </c>
      <c r="L47" s="3">
        <v>0.97668841477588975</v>
      </c>
      <c r="M47" s="3">
        <f>_xlfn.XLOOKUP(B47&amp;"Electric"&amp;"Regulated"&amp;"Revenue", 'Canadian Business Segment Data'!Y:Y, 'Canadian Business Segment Data'!Z:Z)</f>
        <v>0</v>
      </c>
      <c r="N47" s="3">
        <f>_xlfn.XLOOKUP(B47&amp;"Electric"&amp;"Regulated"&amp;"Operating Income", 'Canadian Business Segment Data'!Y:Y, 'Canadian Business Segment Data'!Z:Z)</f>
        <v>0</v>
      </c>
      <c r="O47" s="32" t="str">
        <f>IF(SUM(Q47:W47)=7, "Yes", "No")</f>
        <v>No</v>
      </c>
      <c r="Q47" s="49">
        <f>IF(ISNUMBER(MATCH(C47, 'Credit Ratings'!$E$3:$E$48, 0)), 1, 0)</f>
        <v>1</v>
      </c>
      <c r="R47" s="49">
        <f t="shared" si="1"/>
        <v>0</v>
      </c>
      <c r="S47" s="49">
        <f t="shared" si="13"/>
        <v>0</v>
      </c>
      <c r="T47" s="49">
        <f t="shared" si="10"/>
        <v>1</v>
      </c>
      <c r="U47" s="49">
        <f t="shared" si="11"/>
        <v>1</v>
      </c>
      <c r="V47" s="49">
        <f t="shared" si="12"/>
        <v>0</v>
      </c>
      <c r="W47" s="49">
        <f>IF(AND(ISNUMBER(N47), N47&gt;W$4), 1, 0)</f>
        <v>0</v>
      </c>
      <c r="Y47" s="48" t="s">
        <v>153</v>
      </c>
    </row>
    <row r="48" spans="1:25" x14ac:dyDescent="0.35">
      <c r="A48" s="36" t="s">
        <v>155</v>
      </c>
      <c r="B48" s="37" t="s">
        <v>156</v>
      </c>
      <c r="C48" s="32" t="s">
        <v>94</v>
      </c>
      <c r="D48" s="37" t="s">
        <v>13</v>
      </c>
      <c r="E48" s="40">
        <v>3536.1422000000011</v>
      </c>
      <c r="F48" s="41">
        <v>22.4</v>
      </c>
      <c r="G48" s="41">
        <v>0</v>
      </c>
      <c r="H48" s="3">
        <f t="shared" si="6"/>
        <v>6.3345868839776841E-3</v>
      </c>
      <c r="I48" s="3">
        <f t="shared" si="7"/>
        <v>0</v>
      </c>
      <c r="J48" s="32" t="str">
        <f t="shared" si="8"/>
        <v>No</v>
      </c>
      <c r="K48" s="3">
        <v>0.99199708363899308</v>
      </c>
      <c r="L48" s="3">
        <v>0.99152489420318668</v>
      </c>
      <c r="M48" s="3">
        <f>_xlfn.XLOOKUP(B48&amp;"Electric"&amp;"Regulated"&amp;"Revenue", 'Canadian Business Segment Data'!Y:Y, 'Canadian Business Segment Data'!Z:Z)</f>
        <v>0.83093100122146879</v>
      </c>
      <c r="N48" s="3">
        <f>_xlfn.XLOOKUP(B48&amp;"Electric"&amp;"Regulated"&amp;"Operating Income", 'Canadian Business Segment Data'!Y:Y, 'Canadian Business Segment Data'!Z:Z)</f>
        <v>0.8534464004204485</v>
      </c>
      <c r="O48" s="32" t="s">
        <v>14</v>
      </c>
      <c r="Q48" s="49">
        <f>IF(ISNUMBER(MATCH(C48, 'Credit Ratings'!$E$3:$E$48, 0)), 1, 0)</f>
        <v>1</v>
      </c>
      <c r="R48" s="49">
        <f t="shared" si="1"/>
        <v>1</v>
      </c>
      <c r="S48" s="49">
        <f t="shared" si="13"/>
        <v>0</v>
      </c>
      <c r="T48" s="49">
        <f t="shared" si="10"/>
        <v>1</v>
      </c>
      <c r="U48" s="49">
        <f t="shared" si="11"/>
        <v>1</v>
      </c>
      <c r="V48" s="49">
        <f t="shared" si="12"/>
        <v>1</v>
      </c>
      <c r="W48" s="49">
        <v>1</v>
      </c>
      <c r="Y48" s="48" t="s">
        <v>155</v>
      </c>
    </row>
    <row r="49" spans="1:25" x14ac:dyDescent="0.35">
      <c r="A49" s="36" t="s">
        <v>157</v>
      </c>
      <c r="B49" s="37" t="s">
        <v>158</v>
      </c>
      <c r="C49" s="32" t="s">
        <v>110</v>
      </c>
      <c r="D49" s="37" t="s">
        <v>144</v>
      </c>
      <c r="E49" s="40">
        <v>0</v>
      </c>
      <c r="F49" s="41">
        <v>0</v>
      </c>
      <c r="G49" s="41">
        <v>0</v>
      </c>
      <c r="H49" s="3">
        <f t="shared" si="6"/>
        <v>0</v>
      </c>
      <c r="I49" s="3">
        <f t="shared" si="7"/>
        <v>0</v>
      </c>
      <c r="J49" s="32" t="str">
        <f t="shared" si="8"/>
        <v>No</v>
      </c>
      <c r="K49" s="3">
        <v>0.99454630788267784</v>
      </c>
      <c r="L49" s="3">
        <v>1</v>
      </c>
      <c r="M49" s="3">
        <f>_xlfn.XLOOKUP(B49&amp;"Electric"&amp;"Regulated"&amp;"Revenue", 'Canadian Business Segment Data'!Y:Y, 'Canadian Business Segment Data'!Z:Z)</f>
        <v>1</v>
      </c>
      <c r="N49" s="3">
        <f>_xlfn.XLOOKUP(B49&amp;"Electric"&amp;"Regulated"&amp;"Operating Income", 'Canadian Business Segment Data'!Y:Y, 'Canadian Business Segment Data'!Z:Z)</f>
        <v>1</v>
      </c>
      <c r="O49" s="32" t="str">
        <f>IF(SUM(Q49:W49)=7, "Yes", "No")</f>
        <v>No</v>
      </c>
      <c r="Q49" s="49">
        <f>IF(ISNUMBER(MATCH(C49, 'Credit Ratings'!$E$3:$E$48, 0)), 1, 0)</f>
        <v>1</v>
      </c>
      <c r="R49" s="49">
        <f t="shared" si="1"/>
        <v>0</v>
      </c>
      <c r="S49" s="49">
        <f t="shared" si="13"/>
        <v>0</v>
      </c>
      <c r="T49" s="49">
        <f t="shared" si="10"/>
        <v>1</v>
      </c>
      <c r="U49" s="49">
        <f t="shared" si="11"/>
        <v>1</v>
      </c>
      <c r="V49" s="49">
        <f t="shared" si="12"/>
        <v>1</v>
      </c>
      <c r="W49" s="49">
        <f t="shared" ref="W49:W56" si="14">IF(AND(ISNUMBER(N49), N49&gt;W$4), 1, 0)</f>
        <v>1</v>
      </c>
      <c r="Y49" s="48" t="s">
        <v>157</v>
      </c>
    </row>
    <row r="50" spans="1:25" ht="15" thickBot="1" x14ac:dyDescent="0.4">
      <c r="A50" s="42" t="s">
        <v>159</v>
      </c>
      <c r="B50" s="43" t="s">
        <v>160</v>
      </c>
      <c r="C50" s="44" t="s">
        <v>95</v>
      </c>
      <c r="D50" s="43" t="s">
        <v>14</v>
      </c>
      <c r="E50" s="45">
        <v>0</v>
      </c>
      <c r="F50" s="46">
        <v>0</v>
      </c>
      <c r="G50" s="46">
        <v>0</v>
      </c>
      <c r="H50" s="4">
        <f>IFERROR(F50/E50, 0)</f>
        <v>0</v>
      </c>
      <c r="I50" s="4">
        <f>IFERROR(G50/E50, 0)</f>
        <v>0</v>
      </c>
      <c r="J50" s="44" t="str">
        <f t="shared" si="8"/>
        <v>No</v>
      </c>
      <c r="K50" s="4">
        <v>0.81965980279723449</v>
      </c>
      <c r="L50" s="4">
        <v>0.72834243480452299</v>
      </c>
      <c r="M50" s="4">
        <f>_xlfn.XLOOKUP(B50&amp;"Electric"&amp;"Regulated"&amp;"Revenue", 'Canadian Business Segment Data'!Y:Y, 'Canadian Business Segment Data'!Z:Z)</f>
        <v>0</v>
      </c>
      <c r="N50" s="4">
        <f>_xlfn.XLOOKUP(B50&amp;"Electric"&amp;"Regulated"&amp;"Operating Income", 'Canadian Business Segment Data'!Y:Y, 'Canadian Business Segment Data'!Z:Z)</f>
        <v>0</v>
      </c>
      <c r="O50" s="44" t="str">
        <f>IF(SUM(Q50:W50)=7, "Yes", "No")</f>
        <v>No</v>
      </c>
      <c r="Q50" s="49">
        <f>IF(ISNUMBER(MATCH(C50, 'Credit Ratings'!$E$3:$E$48, 0)), 1, 0)</f>
        <v>1</v>
      </c>
      <c r="R50" s="49">
        <f t="shared" ref="R50:R56" si="15">IF(D50="Yes", 1, 0)</f>
        <v>0</v>
      </c>
      <c r="S50" s="49">
        <f t="shared" ref="S50:S56" si="16">IF(J50="Yes", 1, 0)</f>
        <v>0</v>
      </c>
      <c r="T50" s="49">
        <f t="shared" ref="T50:V56" si="17">IF(AND(ISNUMBER(K50), K50&gt;T$4), 1, 0)</f>
        <v>1</v>
      </c>
      <c r="U50" s="49">
        <f t="shared" si="17"/>
        <v>1</v>
      </c>
      <c r="V50" s="49">
        <f t="shared" si="17"/>
        <v>0</v>
      </c>
      <c r="W50" s="49">
        <f t="shared" si="14"/>
        <v>0</v>
      </c>
      <c r="Y50" s="48" t="s">
        <v>159</v>
      </c>
    </row>
    <row r="51" spans="1:25" x14ac:dyDescent="0.35">
      <c r="A51" s="36" t="s">
        <v>305</v>
      </c>
      <c r="B51" s="37"/>
      <c r="C51" s="29" t="s">
        <v>108</v>
      </c>
      <c r="D51" s="37" t="s">
        <v>13</v>
      </c>
      <c r="E51" s="60">
        <v>6172</v>
      </c>
      <c r="F51" s="61">
        <v>863</v>
      </c>
      <c r="G51" s="61" t="s">
        <v>306</v>
      </c>
      <c r="H51" s="3">
        <f t="shared" ref="H51:H55" si="18">IFERROR(F51/E51, 0)</f>
        <v>0.1398250162022035</v>
      </c>
      <c r="I51" s="3">
        <f t="shared" ref="I51:I55" si="19">IFERROR(G51/E51, 0)</f>
        <v>0</v>
      </c>
      <c r="J51" s="32" t="str">
        <f t="shared" si="8"/>
        <v>No</v>
      </c>
      <c r="K51" s="64">
        <f>3110/3254</f>
        <v>0.95574677320221268</v>
      </c>
      <c r="L51" s="64">
        <f>K51</f>
        <v>0.95574677320221268</v>
      </c>
      <c r="M51" s="64">
        <v>1</v>
      </c>
      <c r="N51" s="64">
        <v>1</v>
      </c>
      <c r="O51" s="32" t="str">
        <f t="shared" ref="O51:O55" si="20">IF(SUM(Q51:W51)=7, "Yes", "No")</f>
        <v>No</v>
      </c>
      <c r="Q51" s="49">
        <f>IF(ISNUMBER(MATCH(C51, 'Credit Ratings'!$E$3:$E$48, 0)), 1, 0)</f>
        <v>1</v>
      </c>
      <c r="R51" s="49">
        <f t="shared" si="15"/>
        <v>1</v>
      </c>
      <c r="S51" s="49">
        <f t="shared" si="16"/>
        <v>0</v>
      </c>
      <c r="T51" s="49">
        <f t="shared" si="17"/>
        <v>1</v>
      </c>
      <c r="U51" s="49">
        <f t="shared" si="17"/>
        <v>1</v>
      </c>
      <c r="V51" s="49">
        <f t="shared" si="17"/>
        <v>1</v>
      </c>
      <c r="W51" s="49">
        <f t="shared" si="14"/>
        <v>1</v>
      </c>
      <c r="Y51" s="36" t="s">
        <v>305</v>
      </c>
    </row>
    <row r="52" spans="1:25" x14ac:dyDescent="0.35">
      <c r="A52" s="36" t="s">
        <v>300</v>
      </c>
      <c r="B52" s="37"/>
      <c r="C52" s="32" t="s">
        <v>110</v>
      </c>
      <c r="D52" s="37" t="s">
        <v>13</v>
      </c>
      <c r="E52" s="60">
        <v>13448</v>
      </c>
      <c r="F52" s="61">
        <v>13271</v>
      </c>
      <c r="G52" s="61" t="s">
        <v>306</v>
      </c>
      <c r="H52" s="3">
        <f t="shared" si="18"/>
        <v>0.98683819155264718</v>
      </c>
      <c r="I52" s="3">
        <f t="shared" si="19"/>
        <v>0</v>
      </c>
      <c r="J52" s="32" t="str">
        <f t="shared" si="8"/>
        <v>Yes</v>
      </c>
      <c r="K52" s="64">
        <f>6049/7478</f>
        <v>0.80890612463225464</v>
      </c>
      <c r="L52" s="64">
        <f>K52</f>
        <v>0.80890612463225464</v>
      </c>
      <c r="M52" s="64">
        <v>1</v>
      </c>
      <c r="N52" s="64">
        <v>1</v>
      </c>
      <c r="O52" s="32" t="str">
        <f t="shared" si="20"/>
        <v>Yes</v>
      </c>
      <c r="Q52" s="49">
        <f>IF(ISNUMBER(MATCH(C52, 'Credit Ratings'!$E$3:$E$48, 0)), 1, 0)</f>
        <v>1</v>
      </c>
      <c r="R52" s="49">
        <f t="shared" si="15"/>
        <v>1</v>
      </c>
      <c r="S52" s="49">
        <f t="shared" si="16"/>
        <v>1</v>
      </c>
      <c r="T52" s="49">
        <f t="shared" si="17"/>
        <v>1</v>
      </c>
      <c r="U52" s="49">
        <f t="shared" si="17"/>
        <v>1</v>
      </c>
      <c r="V52" s="49">
        <f t="shared" si="17"/>
        <v>1</v>
      </c>
      <c r="W52" s="49">
        <f t="shared" si="14"/>
        <v>1</v>
      </c>
      <c r="Y52" s="36" t="s">
        <v>300</v>
      </c>
    </row>
    <row r="53" spans="1:25" x14ac:dyDescent="0.35">
      <c r="A53" s="36" t="s">
        <v>301</v>
      </c>
      <c r="B53" s="37"/>
      <c r="C53" s="29" t="s">
        <v>109</v>
      </c>
      <c r="D53" s="37" t="s">
        <v>13</v>
      </c>
      <c r="E53" s="60">
        <v>6074</v>
      </c>
      <c r="F53" s="61">
        <v>5827</v>
      </c>
      <c r="G53" s="61" t="s">
        <v>306</v>
      </c>
      <c r="H53" s="3">
        <f t="shared" si="18"/>
        <v>0.95933486993743822</v>
      </c>
      <c r="I53" s="3">
        <f t="shared" si="19"/>
        <v>0</v>
      </c>
      <c r="J53" s="32" t="str">
        <f t="shared" si="8"/>
        <v>Yes</v>
      </c>
      <c r="K53" s="64">
        <f>(1920+508)/3369</f>
        <v>0.72068863164143659</v>
      </c>
      <c r="L53" s="64">
        <f>K53</f>
        <v>0.72068863164143659</v>
      </c>
      <c r="M53" s="64">
        <f>1920/(1920+508)</f>
        <v>0.79077429983525538</v>
      </c>
      <c r="N53" s="64">
        <f>M53</f>
        <v>0.79077429983525538</v>
      </c>
      <c r="O53" s="32" t="str">
        <f t="shared" si="20"/>
        <v>No</v>
      </c>
      <c r="Q53" s="49">
        <f>IF(ISNUMBER(MATCH(C53, 'Credit Ratings'!$E$3:$E$48, 0)), 1, 0)</f>
        <v>1</v>
      </c>
      <c r="R53" s="49">
        <f t="shared" si="15"/>
        <v>1</v>
      </c>
      <c r="S53" s="49">
        <f t="shared" si="16"/>
        <v>1</v>
      </c>
      <c r="T53" s="49">
        <f t="shared" si="17"/>
        <v>1</v>
      </c>
      <c r="U53" s="49">
        <f t="shared" si="17"/>
        <v>1</v>
      </c>
      <c r="V53" s="49">
        <f t="shared" si="17"/>
        <v>0</v>
      </c>
      <c r="W53" s="49">
        <f t="shared" si="14"/>
        <v>0</v>
      </c>
      <c r="Y53" s="36" t="s">
        <v>301</v>
      </c>
    </row>
    <row r="54" spans="1:25" x14ac:dyDescent="0.35">
      <c r="A54" s="36" t="s">
        <v>307</v>
      </c>
      <c r="B54" s="37"/>
      <c r="C54" s="29" t="s">
        <v>109</v>
      </c>
      <c r="D54" s="37" t="s">
        <v>13</v>
      </c>
      <c r="E54" s="60">
        <v>37988</v>
      </c>
      <c r="F54" s="61">
        <v>37428</v>
      </c>
      <c r="G54" s="61" t="s">
        <v>306</v>
      </c>
      <c r="H54" s="3">
        <f t="shared" si="18"/>
        <v>0.98525850268505843</v>
      </c>
      <c r="I54" s="3">
        <f t="shared" si="19"/>
        <v>0</v>
      </c>
      <c r="J54" s="32" t="str">
        <f t="shared" si="8"/>
        <v>Yes</v>
      </c>
      <c r="K54" s="64">
        <f>15285/17999</f>
        <v>0.84921384521362298</v>
      </c>
      <c r="L54" s="64">
        <f>K54</f>
        <v>0.84921384521362298</v>
      </c>
      <c r="M54" s="64">
        <v>0</v>
      </c>
      <c r="N54" s="64">
        <v>0</v>
      </c>
      <c r="O54" s="32" t="str">
        <f t="shared" si="20"/>
        <v>No</v>
      </c>
      <c r="Q54" s="49">
        <f>IF(ISNUMBER(MATCH(C54, 'Credit Ratings'!$E$3:$E$48, 0)), 1, 0)</f>
        <v>1</v>
      </c>
      <c r="R54" s="49">
        <f t="shared" si="15"/>
        <v>1</v>
      </c>
      <c r="S54" s="49">
        <f t="shared" si="16"/>
        <v>1</v>
      </c>
      <c r="T54" s="49">
        <f t="shared" si="17"/>
        <v>1</v>
      </c>
      <c r="U54" s="49">
        <f t="shared" si="17"/>
        <v>1</v>
      </c>
      <c r="V54" s="49">
        <f t="shared" si="17"/>
        <v>0</v>
      </c>
      <c r="W54" s="49">
        <f t="shared" si="14"/>
        <v>0</v>
      </c>
      <c r="Y54" s="36" t="s">
        <v>302</v>
      </c>
    </row>
    <row r="55" spans="1:25" x14ac:dyDescent="0.35">
      <c r="A55" s="36" t="s">
        <v>303</v>
      </c>
      <c r="B55" s="37"/>
      <c r="C55" s="29" t="s">
        <v>110</v>
      </c>
      <c r="D55" s="37" t="s">
        <v>13</v>
      </c>
      <c r="E55" s="60">
        <v>1692.9</v>
      </c>
      <c r="F55" s="61">
        <v>954.4</v>
      </c>
      <c r="G55" s="61" t="s">
        <v>306</v>
      </c>
      <c r="H55" s="3">
        <f t="shared" si="18"/>
        <v>0.56376631815228306</v>
      </c>
      <c r="I55" s="3">
        <f t="shared" si="19"/>
        <v>0</v>
      </c>
      <c r="J55" s="32" t="str">
        <f t="shared" si="8"/>
        <v>Yes</v>
      </c>
      <c r="K55" s="64">
        <f>1025/1197</f>
        <v>0.85630743525480368</v>
      </c>
      <c r="L55" s="64">
        <v>1</v>
      </c>
      <c r="M55" s="64">
        <v>1</v>
      </c>
      <c r="N55" s="64">
        <v>1</v>
      </c>
      <c r="O55" s="32" t="str">
        <f t="shared" si="20"/>
        <v>Yes</v>
      </c>
      <c r="Q55" s="49">
        <f>IF(ISNUMBER(MATCH(C55, 'Credit Ratings'!$E$3:$E$48, 0)), 1, 0)</f>
        <v>1</v>
      </c>
      <c r="R55" s="49">
        <f t="shared" si="15"/>
        <v>1</v>
      </c>
      <c r="S55" s="49">
        <f t="shared" si="16"/>
        <v>1</v>
      </c>
      <c r="T55" s="49">
        <f t="shared" si="17"/>
        <v>1</v>
      </c>
      <c r="U55" s="49">
        <f t="shared" si="17"/>
        <v>1</v>
      </c>
      <c r="V55" s="49">
        <f t="shared" si="17"/>
        <v>1</v>
      </c>
      <c r="W55" s="49">
        <f t="shared" si="14"/>
        <v>1</v>
      </c>
      <c r="Y55" s="36" t="s">
        <v>303</v>
      </c>
    </row>
    <row r="56" spans="1:25" ht="15" thickBot="1" x14ac:dyDescent="0.4">
      <c r="A56" s="42" t="s">
        <v>304</v>
      </c>
      <c r="B56" s="43"/>
      <c r="C56" s="44" t="s">
        <v>95</v>
      </c>
      <c r="D56" s="43" t="s">
        <v>13</v>
      </c>
      <c r="E56" s="62">
        <v>3776</v>
      </c>
      <c r="F56" s="63">
        <v>884</v>
      </c>
      <c r="G56" s="63">
        <v>663</v>
      </c>
      <c r="H56" s="4">
        <f>IFERROR(F56/E56, 0)</f>
        <v>0.23411016949152541</v>
      </c>
      <c r="I56" s="4">
        <f>IFERROR(G56/E56, 0)</f>
        <v>0.17558262711864406</v>
      </c>
      <c r="J56" s="44" t="str">
        <f t="shared" si="8"/>
        <v>Yes</v>
      </c>
      <c r="K56" s="65">
        <v>0.95</v>
      </c>
      <c r="L56" s="65">
        <v>0.95</v>
      </c>
      <c r="M56" s="4">
        <v>1</v>
      </c>
      <c r="N56" s="4">
        <v>1</v>
      </c>
      <c r="O56" s="44" t="str">
        <f>IF(SUM(Q56:W56)=7, "Yes", "No")</f>
        <v>Yes</v>
      </c>
      <c r="Q56" s="49">
        <f>IF(ISNUMBER(MATCH(C56, 'Credit Ratings'!$E$3:$E$48, 0)), 1, 0)</f>
        <v>1</v>
      </c>
      <c r="R56" s="49">
        <f t="shared" si="15"/>
        <v>1</v>
      </c>
      <c r="S56" s="49">
        <f t="shared" si="16"/>
        <v>1</v>
      </c>
      <c r="T56" s="49">
        <f t="shared" si="17"/>
        <v>1</v>
      </c>
      <c r="U56" s="49">
        <f t="shared" si="17"/>
        <v>1</v>
      </c>
      <c r="V56" s="49">
        <f t="shared" si="17"/>
        <v>1</v>
      </c>
      <c r="W56" s="49">
        <f t="shared" si="14"/>
        <v>1</v>
      </c>
      <c r="Y56" s="42" t="s">
        <v>304</v>
      </c>
    </row>
    <row r="57" spans="1:25" x14ac:dyDescent="0.35">
      <c r="O57" s="32">
        <f>COUNTIF(O7:O56, "Yes")</f>
        <v>12</v>
      </c>
    </row>
    <row r="58" spans="1:25" s="31" customFormat="1" ht="12.5" x14ac:dyDescent="0.25">
      <c r="A58" s="47" t="s">
        <v>80</v>
      </c>
      <c r="C58" s="32"/>
      <c r="E58" s="32"/>
      <c r="F58" s="32"/>
      <c r="G58" s="32"/>
      <c r="I58" s="32"/>
      <c r="O58" s="32"/>
      <c r="Q58" s="32"/>
      <c r="R58" s="32"/>
      <c r="S58" s="32"/>
      <c r="T58" s="32"/>
      <c r="U58" s="32"/>
      <c r="V58" s="32"/>
      <c r="W58" s="32"/>
    </row>
    <row r="59" spans="1:25" s="31" customFormat="1" ht="12.5" x14ac:dyDescent="0.25">
      <c r="A59" s="31" t="s">
        <v>205</v>
      </c>
      <c r="C59" s="32"/>
      <c r="E59" s="32"/>
      <c r="F59" s="32"/>
      <c r="G59" s="32"/>
      <c r="I59" s="32"/>
      <c r="O59" s="32"/>
      <c r="Q59" s="32"/>
      <c r="R59" s="32"/>
      <c r="S59" s="32"/>
      <c r="T59" s="32"/>
      <c r="U59" s="32"/>
      <c r="V59" s="32"/>
      <c r="W59" s="32"/>
    </row>
    <row r="60" spans="1:25" s="31" customFormat="1" ht="12.5" x14ac:dyDescent="0.25">
      <c r="A60" s="31" t="s">
        <v>103</v>
      </c>
      <c r="C60" s="32"/>
      <c r="E60" s="32"/>
      <c r="F60" s="32"/>
      <c r="G60" s="32"/>
      <c r="I60" s="32"/>
      <c r="O60" s="32"/>
      <c r="Q60" s="32"/>
      <c r="R60" s="32"/>
      <c r="S60" s="32"/>
      <c r="T60" s="32"/>
      <c r="U60" s="32"/>
      <c r="V60" s="32"/>
      <c r="W60" s="32"/>
    </row>
    <row r="61" spans="1:25" s="31" customFormat="1" ht="12.5" x14ac:dyDescent="0.25">
      <c r="A61" s="31" t="s">
        <v>216</v>
      </c>
      <c r="C61" s="32"/>
      <c r="E61" s="32"/>
      <c r="F61" s="32"/>
      <c r="G61" s="32"/>
      <c r="I61" s="32"/>
      <c r="O61" s="32"/>
      <c r="Q61" s="32"/>
      <c r="R61" s="32"/>
      <c r="S61" s="32"/>
      <c r="T61" s="32"/>
      <c r="U61" s="32"/>
      <c r="V61" s="32"/>
      <c r="W61" s="32"/>
    </row>
    <row r="62" spans="1:25" s="31" customFormat="1" ht="12.5" x14ac:dyDescent="0.25">
      <c r="A62" s="31" t="s">
        <v>215</v>
      </c>
      <c r="C62" s="32"/>
      <c r="E62" s="32"/>
      <c r="F62" s="32"/>
      <c r="G62" s="32"/>
      <c r="I62" s="32"/>
      <c r="O62" s="32"/>
      <c r="Q62" s="32"/>
      <c r="R62" s="32"/>
      <c r="S62" s="32"/>
      <c r="T62" s="32"/>
      <c r="U62" s="32"/>
      <c r="V62" s="32"/>
      <c r="W62" s="32"/>
    </row>
    <row r="63" spans="1:25" s="31" customFormat="1" ht="12.5" x14ac:dyDescent="0.25">
      <c r="A63" s="31" t="s">
        <v>217</v>
      </c>
      <c r="C63" s="32"/>
      <c r="E63" s="32"/>
      <c r="F63" s="32"/>
      <c r="G63" s="32"/>
      <c r="I63" s="32"/>
      <c r="O63" s="32"/>
      <c r="Q63" s="32"/>
      <c r="R63" s="32"/>
      <c r="S63" s="32"/>
      <c r="T63" s="32"/>
      <c r="U63" s="32"/>
      <c r="V63" s="32"/>
      <c r="W63" s="32"/>
    </row>
    <row r="64" spans="1:25" s="31" customFormat="1" ht="12.5" x14ac:dyDescent="0.25">
      <c r="A64" s="31" t="s">
        <v>218</v>
      </c>
      <c r="C64" s="32"/>
      <c r="E64" s="32"/>
      <c r="F64" s="32"/>
      <c r="G64" s="32"/>
      <c r="I64" s="32"/>
      <c r="O64" s="32"/>
      <c r="Q64" s="32"/>
      <c r="R64" s="32"/>
      <c r="S64" s="32"/>
      <c r="T64" s="32"/>
      <c r="U64" s="32"/>
      <c r="V64" s="32"/>
      <c r="W64" s="32"/>
    </row>
    <row r="65" spans="1:23" s="31" customFormat="1" ht="12.5" x14ac:dyDescent="0.25">
      <c r="A65" s="31" t="s">
        <v>219</v>
      </c>
      <c r="C65" s="32"/>
      <c r="E65" s="32"/>
      <c r="F65" s="32"/>
      <c r="G65" s="32"/>
      <c r="I65" s="32"/>
      <c r="O65" s="32"/>
      <c r="Q65" s="32"/>
      <c r="R65" s="32"/>
      <c r="S65" s="32"/>
      <c r="T65" s="32"/>
      <c r="U65" s="32"/>
      <c r="V65" s="32"/>
      <c r="W65" s="32"/>
    </row>
    <row r="71" spans="1:23" x14ac:dyDescent="0.35">
      <c r="A71"/>
      <c r="B71"/>
      <c r="C71"/>
    </row>
    <row r="72" spans="1:23" x14ac:dyDescent="0.35">
      <c r="A72"/>
      <c r="B72"/>
      <c r="C7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1E34-9513-4016-9BBA-6438864CC382}">
  <sheetPr codeName="Sheet5"/>
  <dimension ref="B2:E48"/>
  <sheetViews>
    <sheetView workbookViewId="0">
      <selection activeCell="I12" sqref="I12"/>
    </sheetView>
  </sheetViews>
  <sheetFormatPr defaultColWidth="9.1796875" defaultRowHeight="14.5" x14ac:dyDescent="0.35"/>
  <cols>
    <col min="1" max="1" width="2.54296875" style="48" customWidth="1"/>
    <col min="2" max="3" width="9" style="49"/>
    <col min="4" max="4" width="9.1796875" style="48"/>
    <col min="5" max="5" width="9" style="49"/>
    <col min="6" max="16384" width="9.1796875" style="48"/>
  </cols>
  <sheetData>
    <row r="2" spans="2:5" ht="15" thickBot="1" x14ac:dyDescent="0.4">
      <c r="B2" s="55" t="s">
        <v>104</v>
      </c>
      <c r="C2" s="55" t="s">
        <v>105</v>
      </c>
      <c r="E2" s="56" t="s">
        <v>143</v>
      </c>
    </row>
    <row r="3" spans="2:5" x14ac:dyDescent="0.35">
      <c r="B3" s="49" t="s">
        <v>106</v>
      </c>
      <c r="C3" s="49" t="s">
        <v>13</v>
      </c>
      <c r="E3" s="57" t="str" cm="1">
        <f t="array" ref="E3:E22">_xlfn._xlws.FILTER($B$3:$B$48, $C$3:$C$48="Yes")</f>
        <v>AAA</v>
      </c>
    </row>
    <row r="4" spans="2:5" x14ac:dyDescent="0.35">
      <c r="B4" s="49" t="s">
        <v>107</v>
      </c>
      <c r="C4" s="49" t="s">
        <v>13</v>
      </c>
      <c r="E4" s="58" t="str">
        <v>AA+</v>
      </c>
    </row>
    <row r="5" spans="2:5" x14ac:dyDescent="0.35">
      <c r="B5" s="49" t="s">
        <v>108</v>
      </c>
      <c r="C5" s="49" t="s">
        <v>13</v>
      </c>
      <c r="E5" s="58" t="str">
        <v>AA</v>
      </c>
    </row>
    <row r="6" spans="2:5" x14ac:dyDescent="0.35">
      <c r="B6" s="49" t="s">
        <v>97</v>
      </c>
      <c r="C6" s="49" t="s">
        <v>13</v>
      </c>
      <c r="E6" s="58" t="str">
        <v>AA-</v>
      </c>
    </row>
    <row r="7" spans="2:5" x14ac:dyDescent="0.35">
      <c r="B7" s="49" t="s">
        <v>109</v>
      </c>
      <c r="C7" s="49" t="s">
        <v>13</v>
      </c>
      <c r="E7" s="58" t="str">
        <v>A+</v>
      </c>
    </row>
    <row r="8" spans="2:5" x14ac:dyDescent="0.35">
      <c r="B8" s="49" t="s">
        <v>110</v>
      </c>
      <c r="C8" s="49" t="s">
        <v>13</v>
      </c>
      <c r="E8" s="58" t="str">
        <v>A</v>
      </c>
    </row>
    <row r="9" spans="2:5" x14ac:dyDescent="0.35">
      <c r="B9" s="49" t="s">
        <v>94</v>
      </c>
      <c r="C9" s="49" t="s">
        <v>13</v>
      </c>
      <c r="E9" s="58" t="str">
        <v>A-</v>
      </c>
    </row>
    <row r="10" spans="2:5" x14ac:dyDescent="0.35">
      <c r="B10" s="49" t="s">
        <v>95</v>
      </c>
      <c r="C10" s="49" t="s">
        <v>13</v>
      </c>
      <c r="E10" s="58" t="str">
        <v>BBB+</v>
      </c>
    </row>
    <row r="11" spans="2:5" x14ac:dyDescent="0.35">
      <c r="B11" s="49" t="s">
        <v>93</v>
      </c>
      <c r="C11" s="49" t="s">
        <v>13</v>
      </c>
      <c r="E11" s="58" t="str">
        <v>BBB</v>
      </c>
    </row>
    <row r="12" spans="2:5" x14ac:dyDescent="0.35">
      <c r="B12" s="49" t="s">
        <v>111</v>
      </c>
      <c r="C12" s="49" t="s">
        <v>13</v>
      </c>
      <c r="E12" s="58" t="str">
        <v>BBB-</v>
      </c>
    </row>
    <row r="13" spans="2:5" x14ac:dyDescent="0.35">
      <c r="B13" s="49" t="s">
        <v>112</v>
      </c>
      <c r="E13" s="58" t="str">
        <v>Aaa</v>
      </c>
    </row>
    <row r="14" spans="2:5" x14ac:dyDescent="0.35">
      <c r="B14" s="49" t="s">
        <v>98</v>
      </c>
      <c r="E14" s="58" t="str">
        <v>AA1</v>
      </c>
    </row>
    <row r="15" spans="2:5" x14ac:dyDescent="0.35">
      <c r="B15" s="49" t="s">
        <v>113</v>
      </c>
      <c r="E15" s="58" t="str">
        <v>Aa2</v>
      </c>
    </row>
    <row r="16" spans="2:5" x14ac:dyDescent="0.35">
      <c r="B16" s="49" t="s">
        <v>114</v>
      </c>
      <c r="E16" s="58" t="str">
        <v>Aa3</v>
      </c>
    </row>
    <row r="17" spans="2:5" x14ac:dyDescent="0.35">
      <c r="B17" s="49" t="s">
        <v>115</v>
      </c>
      <c r="E17" s="58" t="str">
        <v>A1</v>
      </c>
    </row>
    <row r="18" spans="2:5" x14ac:dyDescent="0.35">
      <c r="B18" s="49" t="s">
        <v>96</v>
      </c>
      <c r="E18" s="58" t="str">
        <v>A2</v>
      </c>
    </row>
    <row r="19" spans="2:5" x14ac:dyDescent="0.35">
      <c r="B19" s="49" t="s">
        <v>116</v>
      </c>
      <c r="E19" s="58" t="str">
        <v>A3</v>
      </c>
    </row>
    <row r="20" spans="2:5" x14ac:dyDescent="0.35">
      <c r="B20" s="49" t="s">
        <v>117</v>
      </c>
      <c r="E20" s="58" t="str">
        <v>Baa1</v>
      </c>
    </row>
    <row r="21" spans="2:5" x14ac:dyDescent="0.35">
      <c r="B21" s="49" t="s">
        <v>118</v>
      </c>
      <c r="E21" s="58" t="str">
        <v>Baa2</v>
      </c>
    </row>
    <row r="22" spans="2:5" x14ac:dyDescent="0.35">
      <c r="B22" s="49" t="s">
        <v>119</v>
      </c>
      <c r="E22" s="58" t="str">
        <v>Baa3</v>
      </c>
    </row>
    <row r="23" spans="2:5" x14ac:dyDescent="0.35">
      <c r="B23" s="49" t="s">
        <v>120</v>
      </c>
      <c r="E23" s="58"/>
    </row>
    <row r="24" spans="2:5" x14ac:dyDescent="0.35">
      <c r="B24" s="49" t="s">
        <v>55</v>
      </c>
      <c r="E24" s="58"/>
    </row>
    <row r="25" spans="2:5" x14ac:dyDescent="0.35">
      <c r="B25" s="49" t="s">
        <v>121</v>
      </c>
      <c r="E25" s="58"/>
    </row>
    <row r="26" spans="2:5" x14ac:dyDescent="0.35">
      <c r="E26" s="58"/>
    </row>
    <row r="27" spans="2:5" x14ac:dyDescent="0.35">
      <c r="B27" s="55" t="s">
        <v>122</v>
      </c>
      <c r="C27" s="55" t="s">
        <v>105</v>
      </c>
      <c r="E27" s="58"/>
    </row>
    <row r="28" spans="2:5" x14ac:dyDescent="0.35">
      <c r="B28" s="49" t="s">
        <v>123</v>
      </c>
      <c r="C28" s="49" t="s">
        <v>13</v>
      </c>
      <c r="E28" s="58"/>
    </row>
    <row r="29" spans="2:5" x14ac:dyDescent="0.35">
      <c r="B29" s="49" t="s">
        <v>124</v>
      </c>
      <c r="C29" s="49" t="s">
        <v>13</v>
      </c>
      <c r="E29" s="58"/>
    </row>
    <row r="30" spans="2:5" x14ac:dyDescent="0.35">
      <c r="B30" s="49" t="s">
        <v>125</v>
      </c>
      <c r="C30" s="49" t="s">
        <v>13</v>
      </c>
      <c r="E30" s="58"/>
    </row>
    <row r="31" spans="2:5" x14ac:dyDescent="0.35">
      <c r="B31" s="49" t="s">
        <v>126</v>
      </c>
      <c r="C31" s="49" t="s">
        <v>13</v>
      </c>
      <c r="E31" s="58"/>
    </row>
    <row r="32" spans="2:5" x14ac:dyDescent="0.35">
      <c r="B32" s="49" t="s">
        <v>127</v>
      </c>
      <c r="C32" s="49" t="s">
        <v>13</v>
      </c>
      <c r="E32" s="58"/>
    </row>
    <row r="33" spans="2:5" x14ac:dyDescent="0.35">
      <c r="B33" s="49" t="s">
        <v>128</v>
      </c>
      <c r="C33" s="49" t="s">
        <v>13</v>
      </c>
      <c r="E33" s="58"/>
    </row>
    <row r="34" spans="2:5" x14ac:dyDescent="0.35">
      <c r="B34" s="49" t="s">
        <v>129</v>
      </c>
      <c r="C34" s="49" t="s">
        <v>13</v>
      </c>
      <c r="E34" s="58"/>
    </row>
    <row r="35" spans="2:5" x14ac:dyDescent="0.35">
      <c r="B35" s="49" t="s">
        <v>130</v>
      </c>
      <c r="C35" s="49" t="s">
        <v>13</v>
      </c>
      <c r="E35" s="58"/>
    </row>
    <row r="36" spans="2:5" x14ac:dyDescent="0.35">
      <c r="B36" s="49" t="s">
        <v>131</v>
      </c>
      <c r="C36" s="49" t="s">
        <v>13</v>
      </c>
      <c r="E36" s="58"/>
    </row>
    <row r="37" spans="2:5" x14ac:dyDescent="0.35">
      <c r="B37" s="49" t="s">
        <v>132</v>
      </c>
      <c r="C37" s="49" t="s">
        <v>13</v>
      </c>
      <c r="E37" s="58"/>
    </row>
    <row r="38" spans="2:5" x14ac:dyDescent="0.35">
      <c r="B38" s="49" t="s">
        <v>133</v>
      </c>
      <c r="E38" s="58"/>
    </row>
    <row r="39" spans="2:5" x14ac:dyDescent="0.35">
      <c r="B39" s="49" t="s">
        <v>134</v>
      </c>
      <c r="E39" s="58"/>
    </row>
    <row r="40" spans="2:5" x14ac:dyDescent="0.35">
      <c r="B40" s="49" t="s">
        <v>135</v>
      </c>
      <c r="E40" s="58"/>
    </row>
    <row r="41" spans="2:5" x14ac:dyDescent="0.35">
      <c r="B41" s="49" t="s">
        <v>136</v>
      </c>
      <c r="E41" s="58"/>
    </row>
    <row r="42" spans="2:5" x14ac:dyDescent="0.35">
      <c r="B42" s="49" t="s">
        <v>137</v>
      </c>
      <c r="E42" s="58"/>
    </row>
    <row r="43" spans="2:5" x14ac:dyDescent="0.35">
      <c r="B43" s="49" t="s">
        <v>138</v>
      </c>
      <c r="E43" s="58"/>
    </row>
    <row r="44" spans="2:5" x14ac:dyDescent="0.35">
      <c r="B44" s="49" t="s">
        <v>139</v>
      </c>
      <c r="E44" s="58"/>
    </row>
    <row r="45" spans="2:5" x14ac:dyDescent="0.35">
      <c r="B45" s="49" t="s">
        <v>140</v>
      </c>
      <c r="E45" s="58"/>
    </row>
    <row r="46" spans="2:5" x14ac:dyDescent="0.35">
      <c r="B46" s="49" t="s">
        <v>141</v>
      </c>
      <c r="E46" s="58"/>
    </row>
    <row r="47" spans="2:5" x14ac:dyDescent="0.35">
      <c r="B47" s="49" t="s">
        <v>142</v>
      </c>
      <c r="E47" s="58"/>
    </row>
    <row r="48" spans="2:5" ht="15" thickBot="1" x14ac:dyDescent="0.4">
      <c r="B48" s="49" t="s">
        <v>120</v>
      </c>
      <c r="E48" s="5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87DB-4444-4A4C-9FB9-DAD8E79D524C}">
  <sheetPr codeName="Sheet4"/>
  <dimension ref="B2:AG123"/>
  <sheetViews>
    <sheetView topLeftCell="A73" workbookViewId="0">
      <selection activeCell="C110" sqref="C110"/>
    </sheetView>
  </sheetViews>
  <sheetFormatPr defaultRowHeight="14.5" x14ac:dyDescent="0.35"/>
  <cols>
    <col min="1" max="1" width="2.54296875" customWidth="1"/>
    <col min="2" max="2" width="41" customWidth="1"/>
    <col min="3" max="3" width="9" style="7"/>
    <col min="4" max="4" width="2.54296875" customWidth="1"/>
    <col min="5" max="5" width="36.26953125" bestFit="1" customWidth="1"/>
    <col min="6" max="6" width="11.54296875" bestFit="1" customWidth="1"/>
    <col min="7" max="7" width="18.453125" bestFit="1" customWidth="1"/>
    <col min="8" max="8" width="15.7265625" bestFit="1" customWidth="1"/>
    <col min="9" max="11" width="12.453125" style="7" customWidth="1"/>
    <col min="12" max="12" width="2.54296875" style="7" customWidth="1"/>
    <col min="13" max="15" width="10.81640625" style="14" customWidth="1"/>
    <col min="16" max="16" width="10.81640625" style="20" customWidth="1"/>
    <col min="17" max="17" width="2.54296875" style="20" customWidth="1"/>
    <col min="18" max="20" width="10.81640625" style="14" customWidth="1"/>
    <col min="21" max="21" width="10.81640625" style="20" customWidth="1"/>
    <col min="22" max="22" width="30.26953125" style="10" customWidth="1"/>
    <col min="23" max="23" width="38.1796875" style="10" bestFit="1" customWidth="1"/>
    <col min="24" max="24" width="2.54296875" style="10" customWidth="1"/>
    <col min="25" max="25" width="38.1796875" style="10" bestFit="1" customWidth="1"/>
    <col min="26" max="26" width="21" style="14" bestFit="1" customWidth="1"/>
    <col min="27" max="27" width="2.54296875" customWidth="1"/>
    <col min="28" max="28" width="24.7265625" style="23" bestFit="1" customWidth="1"/>
    <col min="29" max="31" width="10.81640625" style="14" customWidth="1"/>
    <col min="32" max="32" width="10.81640625" style="20" customWidth="1"/>
    <col min="33" max="33" width="28.26953125" style="23" bestFit="1" customWidth="1"/>
  </cols>
  <sheetData>
    <row r="2" spans="2:33" s="5" customFormat="1" x14ac:dyDescent="0.35">
      <c r="B2" s="11" t="s">
        <v>8</v>
      </c>
      <c r="C2" s="6" t="s">
        <v>9</v>
      </c>
      <c r="I2" s="9"/>
      <c r="J2" s="9"/>
      <c r="K2" s="9"/>
      <c r="L2" s="9"/>
      <c r="M2" s="13" t="s">
        <v>190</v>
      </c>
      <c r="N2" s="13"/>
      <c r="O2" s="13"/>
      <c r="P2" s="17"/>
      <c r="Q2" s="17"/>
      <c r="R2" s="13" t="s">
        <v>196</v>
      </c>
      <c r="S2" s="13"/>
      <c r="T2" s="13"/>
      <c r="U2" s="21"/>
      <c r="V2" s="12"/>
      <c r="W2" s="12"/>
      <c r="X2" s="12"/>
      <c r="Y2" s="12"/>
      <c r="Z2" s="25"/>
      <c r="AB2" s="22"/>
      <c r="AC2" s="13" t="s">
        <v>200</v>
      </c>
      <c r="AD2" s="13"/>
      <c r="AE2" s="13"/>
      <c r="AF2" s="21"/>
      <c r="AG2" s="22"/>
    </row>
    <row r="3" spans="2:33" s="5" customFormat="1" x14ac:dyDescent="0.35">
      <c r="B3" s="5" t="s">
        <v>145</v>
      </c>
      <c r="C3" s="9"/>
      <c r="E3" s="5" t="s">
        <v>194</v>
      </c>
      <c r="F3" s="5" t="s">
        <v>198</v>
      </c>
      <c r="G3" s="5" t="s">
        <v>191</v>
      </c>
      <c r="H3" s="5" t="s">
        <v>193</v>
      </c>
      <c r="I3" s="9">
        <v>2024</v>
      </c>
      <c r="J3" s="9">
        <v>2023</v>
      </c>
      <c r="K3" s="9">
        <v>2022</v>
      </c>
      <c r="L3" s="9"/>
      <c r="M3" s="25">
        <f>I3</f>
        <v>2024</v>
      </c>
      <c r="N3" s="25">
        <f t="shared" ref="N3" si="0">J3</f>
        <v>2023</v>
      </c>
      <c r="O3" s="25">
        <f t="shared" ref="O3" si="1">K3</f>
        <v>2022</v>
      </c>
      <c r="P3" s="26" t="s">
        <v>197</v>
      </c>
      <c r="Q3" s="26"/>
      <c r="R3" s="25">
        <f>M3</f>
        <v>2024</v>
      </c>
      <c r="S3" s="25">
        <f t="shared" ref="S3" si="2">N3</f>
        <v>2023</v>
      </c>
      <c r="T3" s="25">
        <f t="shared" ref="T3" si="3">O3</f>
        <v>2022</v>
      </c>
      <c r="U3" s="26" t="s">
        <v>197</v>
      </c>
      <c r="V3" s="12"/>
      <c r="W3" s="12"/>
      <c r="X3" s="12"/>
      <c r="Y3" s="12"/>
      <c r="Z3" s="25" t="s">
        <v>248</v>
      </c>
      <c r="AB3" s="27"/>
      <c r="AC3" s="25">
        <f>R3</f>
        <v>2024</v>
      </c>
      <c r="AD3" s="25">
        <f t="shared" ref="AD3:AE3" si="4">S3</f>
        <v>2023</v>
      </c>
      <c r="AE3" s="25">
        <f t="shared" si="4"/>
        <v>2022</v>
      </c>
      <c r="AF3" s="26" t="s">
        <v>197</v>
      </c>
      <c r="AG3" s="27"/>
    </row>
    <row r="4" spans="2:33" x14ac:dyDescent="0.35">
      <c r="B4" t="s">
        <v>225</v>
      </c>
      <c r="C4" s="7" t="s">
        <v>146</v>
      </c>
      <c r="E4" s="16" t="s">
        <v>183</v>
      </c>
      <c r="F4" s="16" t="s">
        <v>187</v>
      </c>
      <c r="G4" s="16" t="s">
        <v>163</v>
      </c>
      <c r="H4" t="s">
        <v>186</v>
      </c>
      <c r="I4" s="8">
        <v>1276.0999999999999</v>
      </c>
      <c r="J4" s="8">
        <v>1295.5</v>
      </c>
      <c r="K4" s="8">
        <v>1278.9000000000001</v>
      </c>
      <c r="L4" s="8"/>
      <c r="M4" s="15">
        <f t="shared" ref="M4:O7" si="5">IFERROR(IF($G4="Regulated", I4/SUMIFS(I:I,$C:$C,$C4,$G:$G,"Regulated", $H:$H, $H4), "n/a"), "n/a")</f>
        <v>0.57260163331239344</v>
      </c>
      <c r="N4" s="15">
        <f t="shared" si="5"/>
        <v>0.55939375620709009</v>
      </c>
      <c r="O4" s="15">
        <f t="shared" si="5"/>
        <v>0.54888412017167387</v>
      </c>
      <c r="P4" s="19">
        <f>IFERROR(AVERAGE(M4:O4), "n/a")</f>
        <v>0.56029316989705247</v>
      </c>
      <c r="Q4" s="19"/>
      <c r="R4" s="15">
        <f t="shared" ref="R4:T7" si="6">IFERROR(I4/SUMIFS(I:I,$C:$C,$C4, $H:$H, $H4), "n/a")</f>
        <v>0.55920245398773005</v>
      </c>
      <c r="S4" s="15">
        <f t="shared" si="6"/>
        <v>0.5473172792564428</v>
      </c>
      <c r="T4" s="15">
        <f t="shared" si="6"/>
        <v>0.53606907825795369</v>
      </c>
      <c r="U4" s="19">
        <f>IFERROR(AVERAGE(R4:T4), "n/a")</f>
        <v>0.54752960383404226</v>
      </c>
      <c r="V4" s="10" t="str">
        <f>C4&amp;G4&amp;H4</f>
        <v>AQNRegulatedRevenue</v>
      </c>
      <c r="W4" s="10" t="str">
        <f>C4&amp;F4&amp;G4&amp;H4</f>
        <v>AQNElectricRegulatedRevenue</v>
      </c>
      <c r="Y4" s="10" t="s">
        <v>239</v>
      </c>
      <c r="Z4" s="28">
        <f>SUMIF(W:W, Y4, U:U)/SUMIF(V:V, C4&amp;G4&amp;H4, U:U)</f>
        <v>0.56029240741085751</v>
      </c>
      <c r="AB4" s="24" t="s">
        <v>201</v>
      </c>
      <c r="AC4" s="15">
        <f>IFERROR(SUMIFS(I:I,$C:$C,$C4, $G:$G, "Regulated", $H:$H, "Revenue")/SUMIFS(I:I,$C:$C,$C4, $H:$H, "Revenue"), "n/a")</f>
        <v>0.97659947414548642</v>
      </c>
      <c r="AD4" s="15">
        <f>IFERROR(SUMIFS(J:J,$C:$C,$C4, $G:$G, "Regulated", $H:$H, "Revenue")/SUMIFS(J:J,$C:$C,$C4, $H:$H, "Revenue"), "n/a")</f>
        <v>0.97841149133924799</v>
      </c>
      <c r="AE4" s="15">
        <f>IFERROR(SUMIFS(K:K,$C:$C,$C4, $G:$G, "Regulated", $H:$H, "Revenue")/SUMIFS(K:K,$C:$C,$C4, $H:$H, "Revenue"), "n/a")</f>
        <v>0.97665255480571744</v>
      </c>
      <c r="AF4" s="19">
        <f>IFERROR(AVERAGE(AC4:AE4), "n/a")</f>
        <v>0.97722117343015069</v>
      </c>
      <c r="AG4" s="24" t="str">
        <f>C4&amp;AB4</f>
        <v>AQNRegulatedRevenue</v>
      </c>
    </row>
    <row r="5" spans="2:33" x14ac:dyDescent="0.35">
      <c r="B5" t="s">
        <v>296</v>
      </c>
      <c r="C5" s="7" t="s">
        <v>146</v>
      </c>
      <c r="E5" s="16" t="s">
        <v>184</v>
      </c>
      <c r="F5" s="16" t="s">
        <v>164</v>
      </c>
      <c r="G5" s="16" t="s">
        <v>163</v>
      </c>
      <c r="H5" t="s">
        <v>186</v>
      </c>
      <c r="I5" s="8">
        <v>546.4</v>
      </c>
      <c r="J5" s="8">
        <v>621.29999999999995</v>
      </c>
      <c r="K5" s="8">
        <v>686.7</v>
      </c>
      <c r="L5" s="8"/>
      <c r="M5" s="15">
        <f t="shared" si="5"/>
        <v>0.245176343893027</v>
      </c>
      <c r="N5" s="15">
        <f t="shared" si="5"/>
        <v>0.26827583228982249</v>
      </c>
      <c r="O5" s="15">
        <f t="shared" si="5"/>
        <v>0.2947210300429185</v>
      </c>
      <c r="P5" s="19">
        <f t="shared" ref="P5:P7" si="7">IFERROR(AVERAGE(M5:O5), "n/a")</f>
        <v>0.26939106874192265</v>
      </c>
      <c r="Q5" s="19"/>
      <c r="R5" s="15">
        <f t="shared" si="6"/>
        <v>0.2394390885188431</v>
      </c>
      <c r="S5" s="15">
        <f t="shared" si="6"/>
        <v>0.26248415716096324</v>
      </c>
      <c r="T5" s="15">
        <f t="shared" si="6"/>
        <v>0.28784004694638893</v>
      </c>
      <c r="U5" s="19">
        <f t="shared" ref="U5:U7" si="8">IFERROR(AVERAGE(R5:T5), "n/a")</f>
        <v>0.2632544308753984</v>
      </c>
      <c r="V5" s="10" t="str">
        <f t="shared" ref="V5:V7" si="9">C5&amp;G5&amp;H5</f>
        <v>AQNRegulatedRevenue</v>
      </c>
      <c r="W5" s="10" t="str">
        <f t="shared" ref="W5:W7" si="10">C5&amp;F5&amp;G5&amp;H5</f>
        <v>AQNGasRegulatedRevenue</v>
      </c>
      <c r="Y5" s="10" t="s">
        <v>240</v>
      </c>
      <c r="Z5" s="28">
        <f>SUMIF(W:W, Y5, U:U)/SUMIF(V:V, C5&amp;G5&amp;H5, U:U)</f>
        <v>0.26939083805495867</v>
      </c>
      <c r="AB5" s="24" t="s">
        <v>202</v>
      </c>
      <c r="AC5" s="15">
        <f>IFERROR(SUMIFS(I:I,$C:$C,$C5, $G:$G, "Unregulated", $H:$H, "Revenue")/SUMIFS(I:I,$C:$C,$C5, $H:$H, "Revenue"), "n/a")</f>
        <v>2.3400525854513583E-2</v>
      </c>
      <c r="AD5" s="15">
        <f>IFERROR(SUMIFS(J:J,$C:$C,$C5, $G:$G, "Unregulated", $H:$H, "Revenue")/SUMIFS(J:J,$C:$C,$C5, $H:$H, "Revenue"), "n/a")</f>
        <v>2.1588508660752008E-2</v>
      </c>
      <c r="AE5" s="15">
        <f>IFERROR(SUMIFS(K:K,$C:$C,$C5, $G:$G, "Unregulated", $H:$H, "Revenue")/SUMIFS(K:K,$C:$C,$C5, $H:$H, "Revenue"), "n/a")</f>
        <v>2.3347445194282602E-2</v>
      </c>
      <c r="AF5" s="19">
        <f>IFERROR(AVERAGE(AC5:AE5), "n/a")</f>
        <v>2.2778826569849395E-2</v>
      </c>
      <c r="AG5" s="24" t="str">
        <f>C5&amp;AB5</f>
        <v>AQNUnregulatedRevenue</v>
      </c>
    </row>
    <row r="6" spans="2:33" x14ac:dyDescent="0.35">
      <c r="B6" t="s">
        <v>297</v>
      </c>
      <c r="C6" s="7" t="s">
        <v>146</v>
      </c>
      <c r="E6" s="16" t="s">
        <v>185</v>
      </c>
      <c r="F6" s="16" t="s">
        <v>165</v>
      </c>
      <c r="G6" s="16" t="s">
        <v>163</v>
      </c>
      <c r="H6" t="s">
        <v>186</v>
      </c>
      <c r="I6" s="8">
        <v>406.1</v>
      </c>
      <c r="J6" s="8">
        <v>399.1</v>
      </c>
      <c r="K6" s="8">
        <v>364.4</v>
      </c>
      <c r="L6" s="8"/>
      <c r="M6" s="15">
        <f t="shared" si="5"/>
        <v>0.18222202279457958</v>
      </c>
      <c r="N6" s="15">
        <f t="shared" si="5"/>
        <v>0.17233041150308737</v>
      </c>
      <c r="O6" s="15">
        <f t="shared" si="5"/>
        <v>0.15639484978540771</v>
      </c>
      <c r="P6" s="19">
        <f t="shared" si="7"/>
        <v>0.17031576136102489</v>
      </c>
      <c r="Q6" s="19"/>
      <c r="R6" s="15">
        <f t="shared" si="6"/>
        <v>0.17795793163891324</v>
      </c>
      <c r="S6" s="15">
        <f t="shared" si="6"/>
        <v>0.168610054921842</v>
      </c>
      <c r="T6" s="15">
        <f t="shared" si="6"/>
        <v>0.15274342960137485</v>
      </c>
      <c r="U6" s="19">
        <f t="shared" si="8"/>
        <v>0.16643713872071006</v>
      </c>
      <c r="V6" s="10" t="str">
        <f t="shared" si="9"/>
        <v>AQNRegulatedRevenue</v>
      </c>
      <c r="W6" s="10" t="str">
        <f t="shared" si="10"/>
        <v>AQNWaterRegulatedRevenue</v>
      </c>
      <c r="Y6" s="10" t="s">
        <v>241</v>
      </c>
      <c r="Z6" s="28">
        <f>SUMIF(W:W, Y6, U:U)/SUMIF(V:V, C6&amp;G6&amp;H6, U:U)</f>
        <v>0.17031675453418382</v>
      </c>
      <c r="AB6" s="24"/>
      <c r="AC6" s="15"/>
      <c r="AD6" s="15"/>
      <c r="AE6" s="15"/>
      <c r="AF6" s="19"/>
      <c r="AG6" s="24"/>
    </row>
    <row r="7" spans="2:33" x14ac:dyDescent="0.35">
      <c r="C7" s="7" t="s">
        <v>146</v>
      </c>
      <c r="E7" s="16" t="s">
        <v>189</v>
      </c>
      <c r="F7" s="16" t="s">
        <v>161</v>
      </c>
      <c r="G7" s="16" t="s">
        <v>192</v>
      </c>
      <c r="H7" t="s">
        <v>186</v>
      </c>
      <c r="I7" s="8">
        <v>53.4</v>
      </c>
      <c r="J7" s="8">
        <v>51.1</v>
      </c>
      <c r="K7" s="8">
        <v>55.7</v>
      </c>
      <c r="L7" s="8"/>
      <c r="M7" s="15" t="str">
        <f t="shared" si="5"/>
        <v>n/a</v>
      </c>
      <c r="N7" s="15" t="str">
        <f t="shared" si="5"/>
        <v>n/a</v>
      </c>
      <c r="O7" s="15" t="str">
        <f t="shared" si="5"/>
        <v>n/a</v>
      </c>
      <c r="P7" s="19" t="str">
        <f t="shared" si="7"/>
        <v>n/a</v>
      </c>
      <c r="Q7" s="19"/>
      <c r="R7" s="15">
        <f t="shared" si="6"/>
        <v>2.3400525854513583E-2</v>
      </c>
      <c r="S7" s="15">
        <f t="shared" si="6"/>
        <v>2.1588508660752008E-2</v>
      </c>
      <c r="T7" s="15">
        <f t="shared" si="6"/>
        <v>2.3347445194282602E-2</v>
      </c>
      <c r="U7" s="19">
        <f t="shared" si="8"/>
        <v>2.2778826569849395E-2</v>
      </c>
      <c r="V7" s="10" t="str">
        <f t="shared" si="9"/>
        <v>AQNUnregulatedRevenue</v>
      </c>
      <c r="W7" s="10" t="str">
        <f t="shared" si="10"/>
        <v>AQNOtherUnregulatedRevenue</v>
      </c>
      <c r="Z7" s="28"/>
      <c r="AB7" s="24"/>
      <c r="AC7" s="15"/>
      <c r="AD7" s="15"/>
      <c r="AE7" s="15"/>
      <c r="AF7" s="19"/>
      <c r="AG7" s="24"/>
    </row>
    <row r="8" spans="2:33" x14ac:dyDescent="0.35">
      <c r="M8" s="15"/>
      <c r="N8" s="15"/>
      <c r="O8" s="15"/>
      <c r="P8" s="19"/>
      <c r="Q8" s="19"/>
      <c r="R8" s="15"/>
      <c r="S8" s="15"/>
      <c r="T8" s="15"/>
      <c r="U8" s="19"/>
      <c r="AB8" s="24"/>
      <c r="AC8" s="15"/>
      <c r="AD8" s="15"/>
      <c r="AE8" s="15"/>
      <c r="AF8" s="19"/>
      <c r="AG8" s="24"/>
    </row>
    <row r="9" spans="2:33" x14ac:dyDescent="0.35">
      <c r="E9" s="5" t="s">
        <v>194</v>
      </c>
      <c r="F9" s="5" t="s">
        <v>198</v>
      </c>
      <c r="G9" s="5" t="s">
        <v>191</v>
      </c>
      <c r="H9" s="5" t="s">
        <v>193</v>
      </c>
      <c r="I9" s="9">
        <v>2024</v>
      </c>
      <c r="J9" s="9">
        <v>2023</v>
      </c>
      <c r="K9" s="9">
        <v>2022</v>
      </c>
      <c r="L9" s="9"/>
      <c r="M9" s="14">
        <f>I9</f>
        <v>2024</v>
      </c>
      <c r="N9" s="14">
        <f t="shared" ref="N9" si="11">J9</f>
        <v>2023</v>
      </c>
      <c r="O9" s="14">
        <f t="shared" ref="O9" si="12">K9</f>
        <v>2022</v>
      </c>
      <c r="P9" s="18" t="s">
        <v>197</v>
      </c>
      <c r="Q9" s="18"/>
      <c r="R9" s="14">
        <f>M9</f>
        <v>2024</v>
      </c>
      <c r="S9" s="14">
        <f t="shared" ref="S9" si="13">N9</f>
        <v>2023</v>
      </c>
      <c r="T9" s="14">
        <f t="shared" ref="T9" si="14">O9</f>
        <v>2022</v>
      </c>
      <c r="U9" s="18" t="s">
        <v>197</v>
      </c>
      <c r="Y9" s="12"/>
      <c r="Z9" s="25" t="s">
        <v>248</v>
      </c>
      <c r="AC9" s="14">
        <f>R9</f>
        <v>2024</v>
      </c>
      <c r="AD9" s="14">
        <f t="shared" ref="AD9" si="15">S9</f>
        <v>2023</v>
      </c>
      <c r="AE9" s="14">
        <f t="shared" ref="AE9" si="16">T9</f>
        <v>2022</v>
      </c>
      <c r="AF9" s="18" t="s">
        <v>197</v>
      </c>
    </row>
    <row r="10" spans="2:33" x14ac:dyDescent="0.35">
      <c r="C10" s="7" t="s">
        <v>146</v>
      </c>
      <c r="E10" s="16" t="s">
        <v>183</v>
      </c>
      <c r="F10" s="16" t="s">
        <v>187</v>
      </c>
      <c r="G10" s="16" t="s">
        <v>163</v>
      </c>
      <c r="H10" t="s">
        <v>195</v>
      </c>
      <c r="I10" s="8">
        <v>910.4</v>
      </c>
      <c r="J10" s="8">
        <v>865.7</v>
      </c>
      <c r="K10" s="8">
        <v>813.4</v>
      </c>
      <c r="L10" s="8"/>
      <c r="M10" s="15">
        <f t="shared" ref="M10:O13" si="17">IFERROR(IF($G10="Regulated", I10/SUMIFS(I:I,$C:$C,$C10,$G:$G,"Regulated", $H:$H, $H10), "n/a"), "n/a")</f>
        <v>0.54902906766373183</v>
      </c>
      <c r="N10" s="15">
        <f t="shared" si="17"/>
        <v>0.54126547455295737</v>
      </c>
      <c r="O10" s="15">
        <f t="shared" si="17"/>
        <v>0.54032150923342626</v>
      </c>
      <c r="P10" s="19">
        <f>IFERROR(AVERAGE(M10:O10), "n/a")</f>
        <v>0.54353868381670523</v>
      </c>
      <c r="Q10" s="19"/>
      <c r="R10" s="15">
        <f t="shared" ref="R10:T13" si="18">IFERROR(I10/SUMIFS(I:I,$C:$C,$C10, $H:$H, $H10), "n/a")</f>
        <v>0.53936844599798572</v>
      </c>
      <c r="S10" s="15">
        <f t="shared" si="18"/>
        <v>0.5330665024630542</v>
      </c>
      <c r="T10" s="15">
        <f t="shared" si="18"/>
        <v>0.52154398563734283</v>
      </c>
      <c r="U10" s="19">
        <f>IFERROR(AVERAGE(R10:T10), "n/a")</f>
        <v>0.53132631136612751</v>
      </c>
      <c r="V10" s="10" t="str">
        <f>C10&amp;G10&amp;H10</f>
        <v>AQNRegulatedOperating Income</v>
      </c>
      <c r="W10" s="10" t="str">
        <f>C10&amp;F10&amp;G10&amp;H10</f>
        <v>AQNElectricRegulatedOperating Income</v>
      </c>
      <c r="Y10" s="10" t="s">
        <v>242</v>
      </c>
      <c r="Z10" s="28">
        <f>IFERROR(SUMIF(W:W, Y10, U:U)/SUMIF(V:V, C10&amp;G10&amp;H10, U:U), "n/a")</f>
        <v>0.54355560829108784</v>
      </c>
      <c r="AB10" s="24" t="s">
        <v>203</v>
      </c>
      <c r="AC10" s="15">
        <f>IFERROR(SUMIFS(I:I,$C:$C,$C10, $G:$G, "Regulated", $H:$H, "Operating Income")/SUMIFS(I:I,$C:$C,$C10, $H:$H, "Operating Income"), "n/a")</f>
        <v>0.98240417086320275</v>
      </c>
      <c r="AD10" s="15">
        <f>IFERROR(SUMIFS(J:J,$C:$C,$C10, $G:$G, "Regulated", $H:$H, "Operating Income")/SUMIFS(J:J,$C:$C,$C10, $H:$H, "Operating Income"), "n/a")</f>
        <v>0.98485221674876855</v>
      </c>
      <c r="AE10" s="15">
        <f>IFERROR(SUMIFS(K:K,$C:$C,$C10, $G:$G, "Regulated", $H:$H, "Operating Income")/SUMIFS(K:K,$C:$C,$C10, $H:$H, "Operating Income"), "n/a")</f>
        <v>0.96524749935880994</v>
      </c>
      <c r="AF10" s="19">
        <f>IFERROR(AVERAGE(AC10:AE10), "n/a")</f>
        <v>0.97750129565692712</v>
      </c>
      <c r="AG10" s="24" t="str">
        <f>C10&amp;AB10</f>
        <v>AQNRegulatedOperating Income</v>
      </c>
    </row>
    <row r="11" spans="2:33" x14ac:dyDescent="0.35">
      <c r="C11" s="7" t="s">
        <v>146</v>
      </c>
      <c r="E11" s="16" t="s">
        <v>184</v>
      </c>
      <c r="F11" s="16" t="s">
        <v>164</v>
      </c>
      <c r="G11" s="16" t="s">
        <v>163</v>
      </c>
      <c r="H11" t="s">
        <v>195</v>
      </c>
      <c r="I11" s="8">
        <v>363.2</v>
      </c>
      <c r="J11" s="8">
        <v>354.2</v>
      </c>
      <c r="K11" s="8">
        <v>345.9</v>
      </c>
      <c r="L11" s="8"/>
      <c r="M11" s="15">
        <f t="shared" si="17"/>
        <v>0.21903268604510917</v>
      </c>
      <c r="N11" s="15">
        <f t="shared" si="17"/>
        <v>0.2214580467675378</v>
      </c>
      <c r="O11" s="15">
        <f t="shared" si="17"/>
        <v>0.22977281785571937</v>
      </c>
      <c r="P11" s="19">
        <f t="shared" ref="P11:P13" si="19">IFERROR(AVERAGE(M11:O11), "n/a")</f>
        <v>0.22342118355612209</v>
      </c>
      <c r="Q11" s="19"/>
      <c r="R11" s="15">
        <f t="shared" si="18"/>
        <v>0.21517862432608567</v>
      </c>
      <c r="S11" s="15">
        <f t="shared" si="18"/>
        <v>0.21810344827586206</v>
      </c>
      <c r="T11" s="15">
        <f t="shared" si="18"/>
        <v>0.22178763785586045</v>
      </c>
      <c r="U11" s="19">
        <f t="shared" ref="U11:U13" si="20">IFERROR(AVERAGE(R11:T11), "n/a")</f>
        <v>0.21835657015260271</v>
      </c>
      <c r="V11" s="10" t="str">
        <f t="shared" ref="V11:V13" si="21">C11&amp;G11&amp;H11</f>
        <v>AQNRegulatedOperating Income</v>
      </c>
      <c r="W11" s="10" t="str">
        <f t="shared" ref="W11:W13" si="22">C11&amp;F11&amp;G11&amp;H11</f>
        <v>AQNGasRegulatedOperating Income</v>
      </c>
      <c r="Y11" s="10" t="s">
        <v>243</v>
      </c>
      <c r="Z11" s="28">
        <f>IFERROR(SUMIF(W:W, Y11, U:U)/SUMIF(V:V, C11&amp;G11&amp;H11, U:U), "n/a")</f>
        <v>0.22338238437408595</v>
      </c>
      <c r="AB11" s="24" t="s">
        <v>204</v>
      </c>
      <c r="AC11" s="15">
        <f>IFERROR(SUMIFS(I:I,$C:$C,$C11, $G:$G, "Unregulated", $H:$H, "Operating Income")/SUMIFS(I:I,$C:$C,$C11, $H:$H, "Operating Income"), "n/a")</f>
        <v>1.7595829136797206E-2</v>
      </c>
      <c r="AD11" s="15">
        <f>IFERROR(SUMIFS(J:J,$C:$C,$C11, $G:$G, "Unregulated", $H:$H, "Operating Income")/SUMIFS(J:J,$C:$C,$C11, $H:$H, "Operating Income"), "n/a")</f>
        <v>1.5147783251231528E-2</v>
      </c>
      <c r="AE11" s="15">
        <f>IFERROR(SUMIFS(K:K,$C:$C,$C11, $G:$G, "Unregulated", $H:$H, "Operating Income")/SUMIFS(K:K,$C:$C,$C11, $H:$H, "Operating Income"), "n/a")</f>
        <v>3.4752500641190044E-2</v>
      </c>
      <c r="AF11" s="19">
        <f>IFERROR(AVERAGE(AC11:AE11), "n/a")</f>
        <v>2.2498704343072926E-2</v>
      </c>
      <c r="AG11" s="24" t="str">
        <f>C11&amp;AB11</f>
        <v>AQNUnregulatedOperating Income</v>
      </c>
    </row>
    <row r="12" spans="2:33" x14ac:dyDescent="0.35">
      <c r="C12" s="7" t="s">
        <v>146</v>
      </c>
      <c r="E12" s="16" t="s">
        <v>185</v>
      </c>
      <c r="F12" s="16" t="s">
        <v>165</v>
      </c>
      <c r="G12" s="16" t="s">
        <v>163</v>
      </c>
      <c r="H12" t="s">
        <v>195</v>
      </c>
      <c r="I12" s="8">
        <v>384.6</v>
      </c>
      <c r="J12" s="8">
        <v>379.5</v>
      </c>
      <c r="K12" s="8">
        <v>346.1</v>
      </c>
      <c r="L12" s="8"/>
      <c r="M12" s="15">
        <f t="shared" si="17"/>
        <v>0.23193824629115914</v>
      </c>
      <c r="N12" s="15">
        <f t="shared" si="17"/>
        <v>0.2372764786795048</v>
      </c>
      <c r="O12" s="15">
        <f t="shared" si="17"/>
        <v>0.22990567291085426</v>
      </c>
      <c r="P12" s="19">
        <f t="shared" si="19"/>
        <v>0.23304013262717274</v>
      </c>
      <c r="Q12" s="19"/>
      <c r="R12" s="15">
        <f t="shared" si="18"/>
        <v>0.2278571005391315</v>
      </c>
      <c r="S12" s="15">
        <f t="shared" si="18"/>
        <v>0.23368226600985223</v>
      </c>
      <c r="T12" s="15">
        <f t="shared" si="18"/>
        <v>0.22191587586560657</v>
      </c>
      <c r="U12" s="19">
        <f t="shared" si="20"/>
        <v>0.22781841413819678</v>
      </c>
      <c r="V12" s="10" t="str">
        <f t="shared" si="21"/>
        <v>AQNRegulatedOperating Income</v>
      </c>
      <c r="W12" s="10" t="str">
        <f t="shared" si="22"/>
        <v>AQNWaterRegulatedOperating Income</v>
      </c>
      <c r="Z12" s="28"/>
      <c r="AB12" s="24"/>
      <c r="AC12" s="15"/>
      <c r="AD12" s="15"/>
      <c r="AE12" s="15"/>
      <c r="AF12" s="19"/>
      <c r="AG12" s="24"/>
    </row>
    <row r="13" spans="2:33" x14ac:dyDescent="0.35">
      <c r="C13" s="7" t="s">
        <v>146</v>
      </c>
      <c r="E13" s="16" t="s">
        <v>189</v>
      </c>
      <c r="F13" s="16" t="s">
        <v>161</v>
      </c>
      <c r="G13" s="16" t="s">
        <v>192</v>
      </c>
      <c r="H13" t="s">
        <v>195</v>
      </c>
      <c r="I13" s="8">
        <f>53.4-23.7</f>
        <v>29.7</v>
      </c>
      <c r="J13" s="8">
        <f>51.1-26.5</f>
        <v>24.6</v>
      </c>
      <c r="K13" s="8">
        <v>54.2</v>
      </c>
      <c r="L13" s="8"/>
      <c r="M13" s="15" t="str">
        <f t="shared" si="17"/>
        <v>n/a</v>
      </c>
      <c r="N13" s="15" t="str">
        <f t="shared" si="17"/>
        <v>n/a</v>
      </c>
      <c r="O13" s="15" t="str">
        <f t="shared" si="17"/>
        <v>n/a</v>
      </c>
      <c r="P13" s="19" t="str">
        <f t="shared" si="19"/>
        <v>n/a</v>
      </c>
      <c r="Q13" s="19"/>
      <c r="R13" s="15">
        <f t="shared" si="18"/>
        <v>1.7595829136797206E-2</v>
      </c>
      <c r="S13" s="15">
        <f t="shared" si="18"/>
        <v>1.5147783251231528E-2</v>
      </c>
      <c r="T13" s="15">
        <f t="shared" si="18"/>
        <v>3.4752500641190044E-2</v>
      </c>
      <c r="U13" s="19">
        <f t="shared" si="20"/>
        <v>2.2498704343072926E-2</v>
      </c>
      <c r="V13" s="10" t="str">
        <f t="shared" si="21"/>
        <v>AQNUnregulatedOperating Income</v>
      </c>
      <c r="W13" s="10" t="str">
        <f t="shared" si="22"/>
        <v>AQNOtherUnregulatedOperating Income</v>
      </c>
      <c r="Z13" s="28"/>
      <c r="AB13" s="24"/>
      <c r="AC13" s="15"/>
      <c r="AD13" s="15"/>
      <c r="AE13" s="15"/>
      <c r="AF13" s="19"/>
      <c r="AG13" s="24"/>
    </row>
    <row r="14" spans="2:33" x14ac:dyDescent="0.35">
      <c r="M14" s="15"/>
      <c r="N14" s="15"/>
      <c r="O14" s="15"/>
      <c r="P14" s="19"/>
      <c r="Q14" s="19"/>
      <c r="R14" s="15"/>
      <c r="S14" s="15"/>
      <c r="T14" s="15"/>
      <c r="U14" s="19"/>
      <c r="AB14" s="24"/>
      <c r="AC14" s="15"/>
      <c r="AD14" s="15"/>
      <c r="AE14" s="15"/>
      <c r="AF14" s="19"/>
      <c r="AG14" s="24"/>
    </row>
    <row r="15" spans="2:33" s="5" customFormat="1" x14ac:dyDescent="0.35">
      <c r="B15" s="5" t="s">
        <v>147</v>
      </c>
      <c r="C15" s="9"/>
      <c r="E15" s="5" t="s">
        <v>194</v>
      </c>
      <c r="F15" s="5" t="s">
        <v>198</v>
      </c>
      <c r="G15" s="5" t="s">
        <v>191</v>
      </c>
      <c r="H15" s="5" t="s">
        <v>193</v>
      </c>
      <c r="I15" s="9">
        <v>2024</v>
      </c>
      <c r="J15" s="9">
        <v>2023</v>
      </c>
      <c r="K15" s="9">
        <v>2022</v>
      </c>
      <c r="L15" s="9"/>
      <c r="M15" s="25">
        <f>I15</f>
        <v>2024</v>
      </c>
      <c r="N15" s="25">
        <f t="shared" ref="N15" si="23">J15</f>
        <v>2023</v>
      </c>
      <c r="O15" s="25">
        <f t="shared" ref="O15" si="24">K15</f>
        <v>2022</v>
      </c>
      <c r="P15" s="26" t="s">
        <v>197</v>
      </c>
      <c r="Q15" s="26"/>
      <c r="R15" s="25">
        <f>M15</f>
        <v>2024</v>
      </c>
      <c r="S15" s="25">
        <f t="shared" ref="S15" si="25">N15</f>
        <v>2023</v>
      </c>
      <c r="T15" s="25">
        <f t="shared" ref="T15" si="26">O15</f>
        <v>2022</v>
      </c>
      <c r="U15" s="26" t="s">
        <v>197</v>
      </c>
      <c r="V15" s="12"/>
      <c r="W15" s="12"/>
      <c r="X15" s="12"/>
      <c r="Y15" s="12"/>
      <c r="Z15" s="25" t="s">
        <v>248</v>
      </c>
      <c r="AB15" s="27"/>
      <c r="AC15" s="25">
        <f>R15</f>
        <v>2024</v>
      </c>
      <c r="AD15" s="25">
        <f t="shared" ref="AD15" si="27">S15</f>
        <v>2023</v>
      </c>
      <c r="AE15" s="25">
        <f t="shared" ref="AE15" si="28">T15</f>
        <v>2022</v>
      </c>
      <c r="AF15" s="26" t="s">
        <v>197</v>
      </c>
      <c r="AG15" s="27"/>
    </row>
    <row r="16" spans="2:33" x14ac:dyDescent="0.35">
      <c r="B16" t="s">
        <v>225</v>
      </c>
      <c r="C16" s="7" t="s">
        <v>148</v>
      </c>
      <c r="E16" s="16" t="s">
        <v>183</v>
      </c>
      <c r="F16" s="16" t="s">
        <v>187</v>
      </c>
      <c r="G16" s="16" t="s">
        <v>163</v>
      </c>
      <c r="H16" t="s">
        <v>186</v>
      </c>
      <c r="I16" s="8">
        <v>0</v>
      </c>
      <c r="J16" s="8">
        <v>0</v>
      </c>
      <c r="K16" s="8">
        <v>0</v>
      </c>
      <c r="L16" s="8"/>
      <c r="M16" s="15">
        <f t="shared" ref="M16:O19" si="29">IFERROR(IF($G16="Regulated", I16/SUMIFS(I:I,$C:$C,$C16,$G:$G,"Regulated", $H:$H, $H16), "n/a"), "n/a")</f>
        <v>0</v>
      </c>
      <c r="N16" s="15">
        <f t="shared" si="29"/>
        <v>0</v>
      </c>
      <c r="O16" s="15">
        <f t="shared" si="29"/>
        <v>0</v>
      </c>
      <c r="P16" s="19">
        <f>IFERROR(AVERAGE(M16:O16), "n/a")</f>
        <v>0</v>
      </c>
      <c r="Q16" s="19"/>
      <c r="R16" s="15">
        <f t="shared" ref="R16:T19" si="30">IFERROR(I16/SUMIFS(I:I,$C:$C,$C16, $H:$H, $H16), "n/a")</f>
        <v>0</v>
      </c>
      <c r="S16" s="15">
        <f t="shared" si="30"/>
        <v>0</v>
      </c>
      <c r="T16" s="15">
        <f t="shared" si="30"/>
        <v>0</v>
      </c>
      <c r="U16" s="19">
        <f>IFERROR(AVERAGE(R16:T16), "n/a")</f>
        <v>0</v>
      </c>
      <c r="V16" s="10" t="str">
        <f t="shared" ref="V16:V19" si="31">C16&amp;G16&amp;H16</f>
        <v>ALARegulatedRevenue</v>
      </c>
      <c r="W16" s="10" t="str">
        <f>C16&amp;F16&amp;G16&amp;H16</f>
        <v>ALAElectricRegulatedRevenue</v>
      </c>
      <c r="Y16" s="10" t="s">
        <v>244</v>
      </c>
      <c r="Z16" s="28">
        <f>SUMIF(W:W, Y16, U:U)/SUMIF(V:V, C16&amp;G16&amp;H16, U:U)</f>
        <v>0</v>
      </c>
      <c r="AB16" s="24" t="s">
        <v>201</v>
      </c>
      <c r="AC16" s="15">
        <f>IFERROR(SUMIFS(I:I,$C:$C,$C16, $G:$G, "Regulated", $H:$H, "Revenue")/SUMIFS(I:I,$C:$C,$C16, $H:$H, "Revenue"), "n/a")</f>
        <v>0.3570051413881748</v>
      </c>
      <c r="AD16" s="15">
        <f>IFERROR(SUMIFS(J:J,$C:$C,$C16, $G:$G, "Regulated", $H:$H, "Revenue")/SUMIFS(J:J,$C:$C,$C16, $H:$H, "Revenue"), "n/a")</f>
        <v>0.37139339847657149</v>
      </c>
      <c r="AE16" s="15">
        <f>IFERROR(SUMIFS(K:K,$C:$C,$C16, $G:$G, "Regulated", $H:$H, "Revenue")/SUMIFS(K:K,$C:$C,$C16, $H:$H, "Revenue"), "n/a")</f>
        <v>0.35351742741534747</v>
      </c>
      <c r="AF16" s="19">
        <f>IFERROR(AVERAGE(AC16:AE16), "n/a")</f>
        <v>0.36063865576003123</v>
      </c>
      <c r="AG16" s="24" t="str">
        <f>C16&amp;AB16</f>
        <v>ALARegulatedRevenue</v>
      </c>
    </row>
    <row r="17" spans="2:33" x14ac:dyDescent="0.35">
      <c r="B17" t="s">
        <v>229</v>
      </c>
      <c r="C17" s="7" t="s">
        <v>148</v>
      </c>
      <c r="E17" s="16" t="s">
        <v>184</v>
      </c>
      <c r="F17" s="16" t="s">
        <v>164</v>
      </c>
      <c r="G17" s="16" t="s">
        <v>163</v>
      </c>
      <c r="H17" t="s">
        <v>186</v>
      </c>
      <c r="I17" s="8">
        <v>4444</v>
      </c>
      <c r="J17" s="8">
        <v>4827</v>
      </c>
      <c r="K17" s="8">
        <v>4980</v>
      </c>
      <c r="L17" s="8"/>
      <c r="M17" s="15">
        <f t="shared" si="29"/>
        <v>1</v>
      </c>
      <c r="N17" s="15">
        <f t="shared" si="29"/>
        <v>1</v>
      </c>
      <c r="O17" s="15">
        <f t="shared" si="29"/>
        <v>1</v>
      </c>
      <c r="P17" s="19">
        <f t="shared" ref="P17:P18" si="32">IFERROR(AVERAGE(M17:O17), "n/a")</f>
        <v>1</v>
      </c>
      <c r="Q17" s="19"/>
      <c r="R17" s="15">
        <f t="shared" si="30"/>
        <v>0.3570051413881748</v>
      </c>
      <c r="S17" s="15">
        <f t="shared" si="30"/>
        <v>0.37139339847657149</v>
      </c>
      <c r="T17" s="15">
        <f t="shared" si="30"/>
        <v>0.35351742741534747</v>
      </c>
      <c r="U17" s="19">
        <f t="shared" ref="U17:U18" si="33">IFERROR(AVERAGE(R17:T17), "n/a")</f>
        <v>0.36063865576003123</v>
      </c>
      <c r="V17" s="10" t="str">
        <f t="shared" si="31"/>
        <v>ALARegulatedRevenue</v>
      </c>
      <c r="W17" s="10" t="str">
        <f t="shared" ref="W17:W19" si="34">C17&amp;F17&amp;G17&amp;H17</f>
        <v>ALAGasRegulatedRevenue</v>
      </c>
      <c r="Y17" s="10" t="s">
        <v>245</v>
      </c>
      <c r="Z17" s="28">
        <f>SUMIF(W:W, Y17, U:U)/SUMIF(V:V, C17&amp;G17&amp;H17, U:U)</f>
        <v>1</v>
      </c>
      <c r="AB17" s="24" t="s">
        <v>202</v>
      </c>
      <c r="AC17" s="15">
        <f>IFERROR(SUMIFS(I:I,$C:$C,$C17, $G:$G, "Unregulated", $H:$H, "Revenue")/SUMIFS(I:I,$C:$C,$C17, $H:$H, "Revenue"), "n/a")</f>
        <v>0.64299485861182515</v>
      </c>
      <c r="AD17" s="15">
        <f>IFERROR(SUMIFS(J:J,$C:$C,$C17, $G:$G, "Unregulated", $H:$H, "Revenue")/SUMIFS(J:J,$C:$C,$C17, $H:$H, "Revenue"), "n/a")</f>
        <v>0.62860660152342851</v>
      </c>
      <c r="AE17" s="15">
        <f>IFERROR(SUMIFS(K:K,$C:$C,$C17, $G:$G, "Unregulated", $H:$H, "Revenue")/SUMIFS(K:K,$C:$C,$C17, $H:$H, "Revenue"), "n/a")</f>
        <v>0.64648257258465247</v>
      </c>
      <c r="AF17" s="19">
        <f>IFERROR(AVERAGE(AC17:AE17), "n/a")</f>
        <v>0.63936134423996871</v>
      </c>
      <c r="AG17" s="24" t="str">
        <f>C17&amp;AB17</f>
        <v>ALAUnregulatedRevenue</v>
      </c>
    </row>
    <row r="18" spans="2:33" x14ac:dyDescent="0.35">
      <c r="C18" s="7" t="s">
        <v>148</v>
      </c>
      <c r="E18" s="16" t="s">
        <v>188</v>
      </c>
      <c r="F18" s="16" t="s">
        <v>188</v>
      </c>
      <c r="G18" s="16" t="s">
        <v>192</v>
      </c>
      <c r="H18" t="s">
        <v>186</v>
      </c>
      <c r="I18" s="8">
        <v>7918</v>
      </c>
      <c r="J18" s="8">
        <v>8069</v>
      </c>
      <c r="K18" s="8">
        <v>9010</v>
      </c>
      <c r="L18" s="8"/>
      <c r="M18" s="15" t="str">
        <f t="shared" si="29"/>
        <v>n/a</v>
      </c>
      <c r="N18" s="15" t="str">
        <f t="shared" si="29"/>
        <v>n/a</v>
      </c>
      <c r="O18" s="15" t="str">
        <f t="shared" si="29"/>
        <v>n/a</v>
      </c>
      <c r="P18" s="19" t="str">
        <f t="shared" si="32"/>
        <v>n/a</v>
      </c>
      <c r="Q18" s="19"/>
      <c r="R18" s="15">
        <f t="shared" si="30"/>
        <v>0.63608611825192807</v>
      </c>
      <c r="S18" s="15">
        <f t="shared" si="30"/>
        <v>0.62083557744094786</v>
      </c>
      <c r="T18" s="15">
        <f t="shared" si="30"/>
        <v>0.63959679136792791</v>
      </c>
      <c r="U18" s="19">
        <f t="shared" si="33"/>
        <v>0.63217282902026795</v>
      </c>
      <c r="V18" s="10" t="str">
        <f t="shared" si="31"/>
        <v>ALAUnregulatedRevenue</v>
      </c>
      <c r="W18" s="10" t="str">
        <f t="shared" si="34"/>
        <v>ALAMidstreamUnregulatedRevenue</v>
      </c>
      <c r="Z18" s="28"/>
      <c r="AB18" s="24"/>
      <c r="AC18" s="15"/>
      <c r="AD18" s="15"/>
      <c r="AE18" s="15"/>
      <c r="AF18" s="19"/>
      <c r="AG18" s="24"/>
    </row>
    <row r="19" spans="2:33" x14ac:dyDescent="0.35">
      <c r="C19" s="7" t="s">
        <v>148</v>
      </c>
      <c r="E19" s="16" t="s">
        <v>199</v>
      </c>
      <c r="F19" s="16" t="s">
        <v>161</v>
      </c>
      <c r="G19" s="16" t="s">
        <v>192</v>
      </c>
      <c r="H19" t="s">
        <v>186</v>
      </c>
      <c r="I19" s="8">
        <v>86</v>
      </c>
      <c r="J19" s="8">
        <v>101</v>
      </c>
      <c r="K19" s="8">
        <v>97</v>
      </c>
      <c r="L19" s="8"/>
      <c r="M19" s="15" t="str">
        <f t="shared" si="29"/>
        <v>n/a</v>
      </c>
      <c r="N19" s="15" t="str">
        <f t="shared" si="29"/>
        <v>n/a</v>
      </c>
      <c r="O19" s="15" t="str">
        <f t="shared" si="29"/>
        <v>n/a</v>
      </c>
      <c r="P19" s="19" t="str">
        <f t="shared" ref="P19" si="35">IFERROR(AVERAGE(M19:O19), "n/a")</f>
        <v>n/a</v>
      </c>
      <c r="Q19" s="19"/>
      <c r="R19" s="15">
        <f t="shared" si="30"/>
        <v>6.908740359897172E-3</v>
      </c>
      <c r="S19" s="15">
        <f t="shared" si="30"/>
        <v>7.7710240824805724E-3</v>
      </c>
      <c r="T19" s="15">
        <f t="shared" si="30"/>
        <v>6.8857812167246396E-3</v>
      </c>
      <c r="U19" s="19">
        <f t="shared" ref="U19" si="36">IFERROR(AVERAGE(R19:T19), "n/a")</f>
        <v>7.1885152197007944E-3</v>
      </c>
      <c r="V19" s="10" t="str">
        <f t="shared" si="31"/>
        <v>ALAUnregulatedRevenue</v>
      </c>
      <c r="W19" s="10" t="str">
        <f t="shared" si="34"/>
        <v>ALAOtherUnregulatedRevenue</v>
      </c>
      <c r="Z19" s="28"/>
      <c r="AB19" s="24"/>
      <c r="AC19" s="15"/>
      <c r="AD19" s="15"/>
      <c r="AE19" s="15"/>
      <c r="AF19" s="19"/>
      <c r="AG19" s="24"/>
    </row>
    <row r="20" spans="2:33" x14ac:dyDescent="0.35">
      <c r="M20" s="15"/>
      <c r="N20" s="15"/>
      <c r="O20" s="15"/>
      <c r="P20" s="19"/>
      <c r="Q20" s="19"/>
      <c r="R20" s="15"/>
      <c r="S20" s="15"/>
      <c r="T20" s="15"/>
      <c r="U20" s="19"/>
      <c r="AB20" s="24"/>
      <c r="AC20" s="15"/>
      <c r="AD20" s="15"/>
      <c r="AE20" s="15"/>
      <c r="AF20" s="19"/>
      <c r="AG20" s="24"/>
    </row>
    <row r="21" spans="2:33" x14ac:dyDescent="0.35">
      <c r="E21" s="5" t="s">
        <v>194</v>
      </c>
      <c r="F21" s="5" t="s">
        <v>198</v>
      </c>
      <c r="G21" s="5" t="s">
        <v>191</v>
      </c>
      <c r="H21" s="5" t="s">
        <v>193</v>
      </c>
      <c r="I21" s="9">
        <v>2024</v>
      </c>
      <c r="J21" s="9">
        <v>2023</v>
      </c>
      <c r="K21" s="9">
        <v>2022</v>
      </c>
      <c r="L21" s="9"/>
      <c r="M21" s="14">
        <f>I21</f>
        <v>2024</v>
      </c>
      <c r="N21" s="14">
        <f t="shared" ref="N21" si="37">J21</f>
        <v>2023</v>
      </c>
      <c r="O21" s="14">
        <f t="shared" ref="O21" si="38">K21</f>
        <v>2022</v>
      </c>
      <c r="P21" s="18" t="s">
        <v>197</v>
      </c>
      <c r="Q21" s="18"/>
      <c r="R21" s="14">
        <f>M21</f>
        <v>2024</v>
      </c>
      <c r="S21" s="14">
        <f t="shared" ref="S21" si="39">N21</f>
        <v>2023</v>
      </c>
      <c r="T21" s="14">
        <f t="shared" ref="T21" si="40">O21</f>
        <v>2022</v>
      </c>
      <c r="U21" s="18" t="s">
        <v>197</v>
      </c>
      <c r="Y21" s="12"/>
      <c r="Z21" s="25" t="s">
        <v>248</v>
      </c>
      <c r="AC21" s="14">
        <f>R21</f>
        <v>2024</v>
      </c>
      <c r="AD21" s="14">
        <f t="shared" ref="AD21" si="41">S21</f>
        <v>2023</v>
      </c>
      <c r="AE21" s="14">
        <f t="shared" ref="AE21" si="42">T21</f>
        <v>2022</v>
      </c>
      <c r="AF21" s="18" t="s">
        <v>197</v>
      </c>
    </row>
    <row r="22" spans="2:33" x14ac:dyDescent="0.35">
      <c r="C22" s="7" t="s">
        <v>148</v>
      </c>
      <c r="E22" s="16" t="s">
        <v>183</v>
      </c>
      <c r="F22" s="16" t="s">
        <v>187</v>
      </c>
      <c r="G22" s="16" t="s">
        <v>163</v>
      </c>
      <c r="H22" t="s">
        <v>195</v>
      </c>
      <c r="I22" s="8">
        <v>0</v>
      </c>
      <c r="J22" s="8">
        <v>0</v>
      </c>
      <c r="K22" s="8">
        <v>0</v>
      </c>
      <c r="L22" s="8"/>
      <c r="M22" s="15">
        <f t="shared" ref="M22:O25" si="43">IFERROR(IF($G22="Regulated", I22/SUMIFS(I:I,$C:$C,$C22,$G:$G,"Regulated", $H:$H, $H22), "n/a"), "n/a")</f>
        <v>0</v>
      </c>
      <c r="N22" s="15">
        <f t="shared" si="43"/>
        <v>0</v>
      </c>
      <c r="O22" s="15">
        <f t="shared" si="43"/>
        <v>0</v>
      </c>
      <c r="P22" s="19">
        <f>IFERROR(AVERAGE(M22:O22), "n/a")</f>
        <v>0</v>
      </c>
      <c r="Q22" s="19"/>
      <c r="R22" s="15">
        <f t="shared" ref="R22:T25" si="44">IFERROR(I22/SUMIFS(I:I,$C:$C,$C22, $H:$H, $H22), "n/a")</f>
        <v>0</v>
      </c>
      <c r="S22" s="15">
        <f t="shared" si="44"/>
        <v>0</v>
      </c>
      <c r="T22" s="15">
        <f t="shared" si="44"/>
        <v>0</v>
      </c>
      <c r="U22" s="19">
        <f>IFERROR(AVERAGE(R22:T22), "n/a")</f>
        <v>0</v>
      </c>
      <c r="V22" s="10" t="str">
        <f t="shared" ref="V22:V25" si="45">C22&amp;G22&amp;H22</f>
        <v>ALARegulatedOperating Income</v>
      </c>
      <c r="W22" s="10" t="str">
        <f>C22&amp;F22&amp;G22&amp;H22</f>
        <v>ALAElectricRegulatedOperating Income</v>
      </c>
      <c r="Y22" s="10" t="s">
        <v>249</v>
      </c>
      <c r="Z22" s="28">
        <f>SUMIF(W:W, Y22, U:U)/SUMIF(V:V, C22&amp;G22&amp;H22, U:U)</f>
        <v>0</v>
      </c>
      <c r="AB22" s="24" t="s">
        <v>203</v>
      </c>
      <c r="AC22" s="15">
        <f>IFERROR(SUMIFS(I:I,$C:$C,$C22, $G:$G, "Regulated", $H:$H, "Operating Income")/SUMIFS(I:I,$C:$C,$C22, $H:$H, "Operating Income"), "n/a")</f>
        <v>0.52206494587843466</v>
      </c>
      <c r="AD22" s="15">
        <f>IFERROR(SUMIFS(J:J,$C:$C,$C22, $G:$G, "Regulated", $H:$H, "Operating Income")/SUMIFS(J:J,$C:$C,$C22, $H:$H, "Operating Income"), "n/a")</f>
        <v>0.67840735068912705</v>
      </c>
      <c r="AE22" s="15">
        <f>IFERROR(SUMIFS(K:K,$C:$C,$C22, $G:$G, "Regulated", $H:$H, "Operating Income")/SUMIFS(K:K,$C:$C,$C22, $H:$H, "Operating Income"), "n/a")</f>
        <v>0.52390057361376674</v>
      </c>
      <c r="AF22" s="19">
        <f>IFERROR(AVERAGE(AC22:AE22), "n/a")</f>
        <v>0.57479095672710945</v>
      </c>
      <c r="AG22" s="24" t="str">
        <f>C22&amp;AB22</f>
        <v>ALARegulatedOperating Income</v>
      </c>
    </row>
    <row r="23" spans="2:33" x14ac:dyDescent="0.35">
      <c r="C23" s="7" t="s">
        <v>148</v>
      </c>
      <c r="E23" s="16" t="s">
        <v>184</v>
      </c>
      <c r="F23" s="16" t="s">
        <v>164</v>
      </c>
      <c r="G23" s="16" t="s">
        <v>163</v>
      </c>
      <c r="H23" t="s">
        <v>195</v>
      </c>
      <c r="I23" s="8">
        <v>627</v>
      </c>
      <c r="J23" s="8">
        <v>886</v>
      </c>
      <c r="K23" s="8">
        <v>548</v>
      </c>
      <c r="L23" s="8"/>
      <c r="M23" s="15">
        <f t="shared" si="43"/>
        <v>1</v>
      </c>
      <c r="N23" s="15">
        <f t="shared" si="43"/>
        <v>1</v>
      </c>
      <c r="O23" s="15">
        <f t="shared" si="43"/>
        <v>1</v>
      </c>
      <c r="P23" s="19">
        <f t="shared" ref="P23:P25" si="46">IFERROR(AVERAGE(M23:O23), "n/a")</f>
        <v>1</v>
      </c>
      <c r="Q23" s="19"/>
      <c r="R23" s="15">
        <f t="shared" si="44"/>
        <v>0.52206494587843466</v>
      </c>
      <c r="S23" s="15">
        <f t="shared" si="44"/>
        <v>0.67840735068912705</v>
      </c>
      <c r="T23" s="15">
        <f t="shared" si="44"/>
        <v>0.52390057361376674</v>
      </c>
      <c r="U23" s="19">
        <f t="shared" ref="U23:U25" si="47">IFERROR(AVERAGE(R23:T23), "n/a")</f>
        <v>0.57479095672710945</v>
      </c>
      <c r="V23" s="10" t="str">
        <f t="shared" si="45"/>
        <v>ALARegulatedOperating Income</v>
      </c>
      <c r="W23" s="10" t="str">
        <f t="shared" ref="W23:W25" si="48">C23&amp;F23&amp;G23&amp;H23</f>
        <v>ALAGasRegulatedOperating Income</v>
      </c>
      <c r="Y23" s="10" t="s">
        <v>250</v>
      </c>
      <c r="Z23" s="28">
        <f>SUMIF(W:W, Y23, U:U)/SUMIF(V:V, C23&amp;G23&amp;H23, U:U)</f>
        <v>1</v>
      </c>
      <c r="AB23" s="24" t="s">
        <v>204</v>
      </c>
      <c r="AC23" s="15">
        <f>IFERROR(SUMIFS(I:I,$C:$C,$C23, $G:$G, "Unregulated", $H:$H, "Operating Income")/SUMIFS(I:I,$C:$C,$C23, $H:$H, "Operating Income"), "n/a")</f>
        <v>0.47793505412156534</v>
      </c>
      <c r="AD23" s="15">
        <f>IFERROR(SUMIFS(J:J,$C:$C,$C23, $G:$G, "Unregulated", $H:$H, "Operating Income")/SUMIFS(J:J,$C:$C,$C23, $H:$H, "Operating Income"), "n/a")</f>
        <v>0.32159264931087289</v>
      </c>
      <c r="AE23" s="15">
        <f>IFERROR(SUMIFS(K:K,$C:$C,$C23, $G:$G, "Unregulated", $H:$H, "Operating Income")/SUMIFS(K:K,$C:$C,$C23, $H:$H, "Operating Income"), "n/a")</f>
        <v>0.47609942638623326</v>
      </c>
      <c r="AF23" s="19">
        <f>IFERROR(AVERAGE(AC23:AE23), "n/a")</f>
        <v>0.4252090432728905</v>
      </c>
      <c r="AG23" s="24" t="str">
        <f>C23&amp;AB23</f>
        <v>ALAUnregulatedOperating Income</v>
      </c>
    </row>
    <row r="24" spans="2:33" x14ac:dyDescent="0.35">
      <c r="C24" s="7" t="s">
        <v>148</v>
      </c>
      <c r="E24" s="16" t="s">
        <v>188</v>
      </c>
      <c r="F24" s="16" t="s">
        <v>188</v>
      </c>
      <c r="G24" s="16" t="s">
        <v>192</v>
      </c>
      <c r="H24" t="s">
        <v>195</v>
      </c>
      <c r="I24" s="8">
        <v>646</v>
      </c>
      <c r="J24" s="8">
        <v>460</v>
      </c>
      <c r="K24" s="8">
        <v>526</v>
      </c>
      <c r="L24" s="8"/>
      <c r="M24" s="15" t="str">
        <f t="shared" si="43"/>
        <v>n/a</v>
      </c>
      <c r="N24" s="15" t="str">
        <f t="shared" si="43"/>
        <v>n/a</v>
      </c>
      <c r="O24" s="15" t="str">
        <f t="shared" si="43"/>
        <v>n/a</v>
      </c>
      <c r="P24" s="19" t="str">
        <f t="shared" si="46"/>
        <v>n/a</v>
      </c>
      <c r="Q24" s="19"/>
      <c r="R24" s="15">
        <f t="shared" si="44"/>
        <v>0.53788509575353871</v>
      </c>
      <c r="S24" s="15">
        <f t="shared" si="44"/>
        <v>0.35222052067381315</v>
      </c>
      <c r="T24" s="15">
        <f t="shared" si="44"/>
        <v>0.50286806883365198</v>
      </c>
      <c r="U24" s="19">
        <f t="shared" si="47"/>
        <v>0.46432456175366799</v>
      </c>
      <c r="V24" s="10" t="str">
        <f t="shared" si="45"/>
        <v>ALAUnregulatedOperating Income</v>
      </c>
      <c r="W24" s="10" t="str">
        <f t="shared" si="48"/>
        <v>ALAMidstreamUnregulatedOperating Income</v>
      </c>
      <c r="Z24" s="28"/>
      <c r="AB24" s="24"/>
      <c r="AC24" s="15"/>
      <c r="AD24" s="15"/>
      <c r="AE24" s="15"/>
      <c r="AF24" s="19"/>
      <c r="AG24" s="24"/>
    </row>
    <row r="25" spans="2:33" x14ac:dyDescent="0.35">
      <c r="C25" s="7" t="s">
        <v>148</v>
      </c>
      <c r="E25" s="16" t="s">
        <v>199</v>
      </c>
      <c r="F25" s="16" t="s">
        <v>161</v>
      </c>
      <c r="G25" s="16" t="s">
        <v>192</v>
      </c>
      <c r="H25" t="s">
        <v>195</v>
      </c>
      <c r="I25" s="8">
        <f>-527--455</f>
        <v>-72</v>
      </c>
      <c r="J25" s="8">
        <f>-434--394</f>
        <v>-40</v>
      </c>
      <c r="K25" s="8">
        <f>-358--330</f>
        <v>-28</v>
      </c>
      <c r="L25" s="8"/>
      <c r="M25" s="15" t="str">
        <f t="shared" si="43"/>
        <v>n/a</v>
      </c>
      <c r="N25" s="15" t="str">
        <f t="shared" si="43"/>
        <v>n/a</v>
      </c>
      <c r="O25" s="15" t="str">
        <f t="shared" si="43"/>
        <v>n/a</v>
      </c>
      <c r="P25" s="19" t="str">
        <f t="shared" si="46"/>
        <v>n/a</v>
      </c>
      <c r="Q25" s="19"/>
      <c r="R25" s="15">
        <f t="shared" si="44"/>
        <v>-5.9950041631973358E-2</v>
      </c>
      <c r="S25" s="15">
        <f t="shared" si="44"/>
        <v>-3.0627871362940276E-2</v>
      </c>
      <c r="T25" s="15">
        <f t="shared" si="44"/>
        <v>-2.676864244741874E-2</v>
      </c>
      <c r="U25" s="19">
        <f t="shared" si="47"/>
        <v>-3.9115518480777454E-2</v>
      </c>
      <c r="V25" s="10" t="str">
        <f t="shared" si="45"/>
        <v>ALAUnregulatedOperating Income</v>
      </c>
      <c r="W25" s="10" t="str">
        <f t="shared" si="48"/>
        <v>ALAOtherUnregulatedOperating Income</v>
      </c>
      <c r="Z25" s="28"/>
      <c r="AB25" s="24"/>
      <c r="AC25" s="15"/>
      <c r="AD25" s="15"/>
      <c r="AE25" s="15"/>
      <c r="AF25" s="19"/>
      <c r="AG25" s="24"/>
    </row>
    <row r="26" spans="2:33" x14ac:dyDescent="0.35">
      <c r="M26" s="15"/>
      <c r="N26" s="15"/>
      <c r="O26" s="15"/>
      <c r="P26" s="19"/>
      <c r="Q26" s="19"/>
      <c r="R26" s="15"/>
      <c r="S26" s="15"/>
      <c r="T26" s="15"/>
      <c r="U26" s="19"/>
      <c r="AB26" s="24"/>
      <c r="AC26" s="15"/>
      <c r="AD26" s="15"/>
      <c r="AE26" s="15"/>
      <c r="AF26" s="19"/>
      <c r="AG26" s="24"/>
    </row>
    <row r="27" spans="2:33" s="5" customFormat="1" x14ac:dyDescent="0.35">
      <c r="B27" s="5" t="s">
        <v>149</v>
      </c>
      <c r="C27" s="9"/>
      <c r="E27" s="5" t="s">
        <v>194</v>
      </c>
      <c r="F27" s="5" t="s">
        <v>198</v>
      </c>
      <c r="G27" s="5" t="s">
        <v>191</v>
      </c>
      <c r="H27" s="5" t="s">
        <v>193</v>
      </c>
      <c r="I27" s="9">
        <v>2024</v>
      </c>
      <c r="J27" s="9">
        <v>2023</v>
      </c>
      <c r="K27" s="9">
        <v>2022</v>
      </c>
      <c r="L27" s="9"/>
      <c r="M27" s="25">
        <f>I27</f>
        <v>2024</v>
      </c>
      <c r="N27" s="25">
        <f t="shared" ref="N27" si="49">J27</f>
        <v>2023</v>
      </c>
      <c r="O27" s="25">
        <f t="shared" ref="O27" si="50">K27</f>
        <v>2022</v>
      </c>
      <c r="P27" s="26" t="s">
        <v>197</v>
      </c>
      <c r="Q27" s="26"/>
      <c r="R27" s="25">
        <f>M27</f>
        <v>2024</v>
      </c>
      <c r="S27" s="25">
        <f t="shared" ref="S27" si="51">N27</f>
        <v>2023</v>
      </c>
      <c r="T27" s="25">
        <f t="shared" ref="T27" si="52">O27</f>
        <v>2022</v>
      </c>
      <c r="U27" s="26" t="s">
        <v>197</v>
      </c>
      <c r="V27" s="12"/>
      <c r="W27" s="12"/>
      <c r="X27" s="12"/>
      <c r="Y27" s="12"/>
      <c r="Z27" s="25" t="s">
        <v>248</v>
      </c>
      <c r="AB27" s="27"/>
      <c r="AC27" s="25">
        <f>R27</f>
        <v>2024</v>
      </c>
      <c r="AD27" s="25">
        <f t="shared" ref="AD27" si="53">S27</f>
        <v>2023</v>
      </c>
      <c r="AE27" s="25">
        <f t="shared" ref="AE27" si="54">T27</f>
        <v>2022</v>
      </c>
      <c r="AF27" s="26" t="s">
        <v>197</v>
      </c>
      <c r="AG27" s="27"/>
    </row>
    <row r="28" spans="2:33" x14ac:dyDescent="0.35">
      <c r="B28" t="s">
        <v>225</v>
      </c>
      <c r="C28" s="7" t="s">
        <v>150</v>
      </c>
      <c r="E28" s="16" t="s">
        <v>208</v>
      </c>
      <c r="F28" s="16" t="s">
        <v>187</v>
      </c>
      <c r="G28" s="16" t="s">
        <v>163</v>
      </c>
      <c r="H28" t="s">
        <v>186</v>
      </c>
      <c r="I28" s="8">
        <v>1423</v>
      </c>
      <c r="J28" s="8">
        <v>1436</v>
      </c>
      <c r="K28" s="8" t="s">
        <v>144</v>
      </c>
      <c r="L28" s="8"/>
      <c r="M28" s="15">
        <f t="shared" ref="M28:O34" si="55">IFERROR(IF($G28="Regulated", I28/SUMIFS(I:I,$C:$C,$C28,$G:$G,"Regulated", $H:$H, $H28), "n/a"), "n/a")</f>
        <v>0.42848539596507074</v>
      </c>
      <c r="N28" s="15">
        <f t="shared" si="55"/>
        <v>0.44818976279650435</v>
      </c>
      <c r="O28" s="15" t="str">
        <f t="shared" si="55"/>
        <v>n/a</v>
      </c>
      <c r="P28" s="19">
        <f>IFERROR(AVERAGE(M28:O28), "n/a")</f>
        <v>0.43833757938078755</v>
      </c>
      <c r="Q28" s="19"/>
      <c r="R28" s="15">
        <f t="shared" ref="R28:T34" si="56">IFERROR(I28/SUMIFS(I:I,$C:$C,$C28, $H:$H, $H28), "n/a")</f>
        <v>0.380277926242651</v>
      </c>
      <c r="S28" s="15">
        <f t="shared" si="56"/>
        <v>0.37829293993677554</v>
      </c>
      <c r="T28" s="15" t="str">
        <f t="shared" si="56"/>
        <v>n/a</v>
      </c>
      <c r="U28" s="19">
        <f>IFERROR(AVERAGE(R28:T28), "n/a")</f>
        <v>0.3792854330897133</v>
      </c>
      <c r="V28" s="10" t="str">
        <f t="shared" ref="V28:V34" si="57">C28&amp;G28&amp;H28</f>
        <v>CURegulatedRevenue</v>
      </c>
      <c r="W28" s="10" t="str">
        <f>C28&amp;F28&amp;G28&amp;H28</f>
        <v>CUElectricRegulatedRevenue</v>
      </c>
      <c r="Y28" s="10" t="s">
        <v>246</v>
      </c>
      <c r="Z28" s="28">
        <f>SUMIF(W:W, Y28, U:U)/SUMIF(V:V, C28&amp;G28&amp;H28, U:U)</f>
        <v>0.50951638900232243</v>
      </c>
      <c r="AB28" s="24" t="s">
        <v>201</v>
      </c>
      <c r="AC28" s="15">
        <f>IFERROR(SUMIFS(I:I,$C:$C,$C28, $G:$G, "Regulated", $H:$H, "Revenue")/SUMIFS(I:I,$C:$C,$C28, $H:$H, "Revenue"), "n/a")</f>
        <v>0.8874933190807055</v>
      </c>
      <c r="AD28" s="15">
        <f>IFERROR(SUMIFS(J:J,$C:$C,$C28, $G:$G, "Regulated", $H:$H, "Revenue")/SUMIFS(J:J,$C:$C,$C28, $H:$H, "Revenue"), "n/a")</f>
        <v>0.84404636459430982</v>
      </c>
      <c r="AE28" s="15" t="str">
        <f>IFERROR(SUMIFS(K:K,$C:$C,$C28, $G:$G, "Regulated", $H:$H, "Revenue")/SUMIFS(K:K,$C:$C,$C28, $H:$H, "Revenue"), "n/a")</f>
        <v>n/a</v>
      </c>
      <c r="AF28" s="19">
        <f>IFERROR(AVERAGE(AC28:AE28), "n/a")</f>
        <v>0.86576984183750771</v>
      </c>
      <c r="AG28" s="24" t="str">
        <f>C28&amp;AB28</f>
        <v>CURegulatedRevenue</v>
      </c>
    </row>
    <row r="29" spans="2:33" x14ac:dyDescent="0.35">
      <c r="B29" t="s">
        <v>228</v>
      </c>
      <c r="C29" s="7" t="s">
        <v>150</v>
      </c>
      <c r="E29" s="16" t="s">
        <v>209</v>
      </c>
      <c r="F29" s="16" t="s">
        <v>164</v>
      </c>
      <c r="G29" s="16" t="s">
        <v>163</v>
      </c>
      <c r="H29" t="s">
        <v>186</v>
      </c>
      <c r="I29" s="8">
        <v>1657</v>
      </c>
      <c r="J29" s="8">
        <v>1543</v>
      </c>
      <c r="K29" s="8" t="s">
        <v>144</v>
      </c>
      <c r="L29" s="8"/>
      <c r="M29" s="15">
        <f t="shared" si="55"/>
        <v>0.49894610057211686</v>
      </c>
      <c r="N29" s="15">
        <f t="shared" si="55"/>
        <v>0.48158551810237205</v>
      </c>
      <c r="O29" s="15" t="str">
        <f t="shared" si="55"/>
        <v>n/a</v>
      </c>
      <c r="P29" s="19">
        <f t="shared" ref="P29:P30" si="58">IFERROR(AVERAGE(M29:O29), "n/a")</f>
        <v>0.49026580933724445</v>
      </c>
      <c r="Q29" s="19"/>
      <c r="R29" s="15">
        <f t="shared" si="56"/>
        <v>0.44281133083912344</v>
      </c>
      <c r="S29" s="15">
        <f t="shared" si="56"/>
        <v>0.40648050579557427</v>
      </c>
      <c r="T29" s="15" t="str">
        <f t="shared" si="56"/>
        <v>n/a</v>
      </c>
      <c r="U29" s="19">
        <f t="shared" ref="U29:U30" si="59">IFERROR(AVERAGE(R29:T29), "n/a")</f>
        <v>0.42464591831734888</v>
      </c>
      <c r="V29" s="10" t="str">
        <f t="shared" si="57"/>
        <v>CURegulatedRevenue</v>
      </c>
      <c r="W29" s="10" t="str">
        <f t="shared" ref="W29:W34" si="60">C29&amp;F29&amp;G29&amp;H29</f>
        <v>CUGasRegulatedRevenue</v>
      </c>
      <c r="Y29" s="10" t="s">
        <v>247</v>
      </c>
      <c r="Z29" s="28">
        <f>SUMIF(W:W, Y29, U:U)/SUMIF(V:V, C29&amp;G29&amp;H29, U:U)</f>
        <v>0.49048361099767745</v>
      </c>
      <c r="AB29" s="24" t="s">
        <v>202</v>
      </c>
      <c r="AC29" s="15">
        <f>IFERROR(SUMIFS(I:I,$C:$C,$C29, $G:$G, "Unregulated", $H:$H, "Revenue")/SUMIFS(I:I,$C:$C,$C29, $H:$H, "Revenue"), "n/a")</f>
        <v>0.1125066809192945</v>
      </c>
      <c r="AD29" s="15">
        <f>IFERROR(SUMIFS(J:J,$C:$C,$C29, $G:$G, "Unregulated", $H:$H, "Revenue")/SUMIFS(J:J,$C:$C,$C29, $H:$H, "Revenue"), "n/a")</f>
        <v>0.15595363540569021</v>
      </c>
      <c r="AE29" s="15" t="str">
        <f>IFERROR(SUMIFS(K:K,$C:$C,$C29, $G:$G, "Unregulated", $H:$H, "Revenue")/SUMIFS(K:K,$C:$C,$C29, $H:$H, "Revenue"), "n/a")</f>
        <v>n/a</v>
      </c>
      <c r="AF29" s="19">
        <f>IFERROR(AVERAGE(AC29:AE29), "n/a")</f>
        <v>0.13423015816249234</v>
      </c>
      <c r="AG29" s="24" t="str">
        <f>C29&amp;AB29</f>
        <v>CUUnregulatedRevenue</v>
      </c>
    </row>
    <row r="30" spans="2:33" x14ac:dyDescent="0.35">
      <c r="C30" s="7" t="s">
        <v>150</v>
      </c>
      <c r="E30" s="16" t="s">
        <v>210</v>
      </c>
      <c r="F30" s="16" t="s">
        <v>161</v>
      </c>
      <c r="G30" s="16" t="s">
        <v>192</v>
      </c>
      <c r="H30" t="s">
        <v>186</v>
      </c>
      <c r="I30" s="8">
        <v>-9</v>
      </c>
      <c r="J30" s="8">
        <v>-11</v>
      </c>
      <c r="K30" s="8" t="s">
        <v>144</v>
      </c>
      <c r="L30" s="8"/>
      <c r="M30" s="15" t="str">
        <f t="shared" si="55"/>
        <v>n/a</v>
      </c>
      <c r="N30" s="15" t="str">
        <f t="shared" si="55"/>
        <v>n/a</v>
      </c>
      <c r="O30" s="15" t="str">
        <f t="shared" si="55"/>
        <v>n/a</v>
      </c>
      <c r="P30" s="19" t="str">
        <f t="shared" si="58"/>
        <v>n/a</v>
      </c>
      <c r="Q30" s="19"/>
      <c r="R30" s="15">
        <f t="shared" si="56"/>
        <v>-2.4051309460181719E-3</v>
      </c>
      <c r="S30" s="15">
        <f t="shared" si="56"/>
        <v>-2.897787144362487E-3</v>
      </c>
      <c r="T30" s="15" t="str">
        <f t="shared" si="56"/>
        <v>n/a</v>
      </c>
      <c r="U30" s="19">
        <f t="shared" si="59"/>
        <v>-2.6514590451903295E-3</v>
      </c>
      <c r="V30" s="10" t="str">
        <f t="shared" si="57"/>
        <v>CUUnregulatedRevenue</v>
      </c>
      <c r="W30" s="10" t="str">
        <f t="shared" si="60"/>
        <v>CUOtherUnregulatedRevenue</v>
      </c>
      <c r="Z30" s="28"/>
      <c r="AB30" s="24"/>
      <c r="AC30" s="15"/>
      <c r="AD30" s="15"/>
      <c r="AE30" s="15"/>
      <c r="AF30" s="19"/>
      <c r="AG30" s="24"/>
    </row>
    <row r="31" spans="2:33" x14ac:dyDescent="0.35">
      <c r="C31" s="7" t="s">
        <v>150</v>
      </c>
      <c r="E31" s="16" t="s">
        <v>211</v>
      </c>
      <c r="F31" s="16" t="s">
        <v>187</v>
      </c>
      <c r="G31" s="16" t="s">
        <v>192</v>
      </c>
      <c r="H31" t="s">
        <v>186</v>
      </c>
      <c r="I31" s="8">
        <v>313</v>
      </c>
      <c r="J31" s="8">
        <v>346</v>
      </c>
      <c r="K31" s="8" t="s">
        <v>144</v>
      </c>
      <c r="L31" s="8"/>
      <c r="M31" s="15" t="str">
        <f t="shared" si="55"/>
        <v>n/a</v>
      </c>
      <c r="N31" s="15" t="str">
        <f t="shared" si="55"/>
        <v>n/a</v>
      </c>
      <c r="O31" s="15" t="str">
        <f t="shared" si="55"/>
        <v>n/a</v>
      </c>
      <c r="P31" s="19" t="str">
        <f t="shared" ref="P31:P34" si="61">IFERROR(AVERAGE(M31:O31), "n/a")</f>
        <v>n/a</v>
      </c>
      <c r="Q31" s="19"/>
      <c r="R31" s="15">
        <f t="shared" si="56"/>
        <v>8.3645109567076437E-2</v>
      </c>
      <c r="S31" s="15">
        <f t="shared" si="56"/>
        <v>9.114857744994731E-2</v>
      </c>
      <c r="T31" s="15" t="str">
        <f t="shared" si="56"/>
        <v>n/a</v>
      </c>
      <c r="U31" s="19">
        <f t="shared" ref="U31:U34" si="62">IFERROR(AVERAGE(R31:T31), "n/a")</f>
        <v>8.7396843508511873E-2</v>
      </c>
      <c r="V31" s="10" t="str">
        <f t="shared" si="57"/>
        <v>CUUnregulatedRevenue</v>
      </c>
      <c r="W31" s="10" t="str">
        <f t="shared" si="60"/>
        <v>CUElectricUnregulatedRevenue</v>
      </c>
      <c r="Z31" s="28"/>
      <c r="AB31" s="24"/>
      <c r="AC31" s="15"/>
      <c r="AD31" s="15"/>
      <c r="AE31" s="15"/>
      <c r="AF31" s="19"/>
      <c r="AG31" s="24"/>
    </row>
    <row r="32" spans="2:33" x14ac:dyDescent="0.35">
      <c r="C32" s="7" t="s">
        <v>150</v>
      </c>
      <c r="E32" s="16" t="s">
        <v>212</v>
      </c>
      <c r="F32" s="16" t="s">
        <v>187</v>
      </c>
      <c r="G32" s="16" t="s">
        <v>163</v>
      </c>
      <c r="H32" t="s">
        <v>186</v>
      </c>
      <c r="I32" s="8">
        <v>241</v>
      </c>
      <c r="J32" s="8">
        <v>225</v>
      </c>
      <c r="K32" s="8" t="s">
        <v>144</v>
      </c>
      <c r="L32" s="8"/>
      <c r="M32" s="15">
        <f t="shared" si="55"/>
        <v>7.2568503462812406E-2</v>
      </c>
      <c r="N32" s="15">
        <f t="shared" si="55"/>
        <v>7.02247191011236E-2</v>
      </c>
      <c r="O32" s="15" t="str">
        <f t="shared" si="55"/>
        <v>n/a</v>
      </c>
      <c r="P32" s="19">
        <f t="shared" si="61"/>
        <v>7.1396611281968003E-2</v>
      </c>
      <c r="Q32" s="19"/>
      <c r="R32" s="15">
        <f t="shared" si="56"/>
        <v>6.4404061998931048E-2</v>
      </c>
      <c r="S32" s="15">
        <f t="shared" si="56"/>
        <v>5.9272918861959956E-2</v>
      </c>
      <c r="T32" s="15" t="str">
        <f t="shared" si="56"/>
        <v>n/a</v>
      </c>
      <c r="U32" s="19">
        <f t="shared" si="62"/>
        <v>6.1838490430445502E-2</v>
      </c>
      <c r="V32" s="10" t="str">
        <f t="shared" si="57"/>
        <v>CURegulatedRevenue</v>
      </c>
      <c r="W32" s="10" t="str">
        <f t="shared" si="60"/>
        <v>CUElectricRegulatedRevenue</v>
      </c>
      <c r="AB32" s="24"/>
      <c r="AC32" s="15"/>
      <c r="AD32" s="15"/>
      <c r="AE32" s="15"/>
      <c r="AF32" s="19"/>
      <c r="AG32" s="24"/>
    </row>
    <row r="33" spans="2:33" x14ac:dyDescent="0.35">
      <c r="C33" s="7" t="s">
        <v>150</v>
      </c>
      <c r="E33" s="16" t="s">
        <v>199</v>
      </c>
      <c r="F33" s="16" t="s">
        <v>161</v>
      </c>
      <c r="G33" s="16" t="s">
        <v>192</v>
      </c>
      <c r="H33" t="s">
        <v>186</v>
      </c>
      <c r="I33" s="8">
        <v>184</v>
      </c>
      <c r="J33" s="8">
        <v>384</v>
      </c>
      <c r="K33" s="8" t="s">
        <v>144</v>
      </c>
      <c r="L33" s="8"/>
      <c r="M33" s="15" t="str">
        <f t="shared" si="55"/>
        <v>n/a</v>
      </c>
      <c r="N33" s="15" t="str">
        <f t="shared" si="55"/>
        <v>n/a</v>
      </c>
      <c r="O33" s="15" t="str">
        <f t="shared" si="55"/>
        <v>n/a</v>
      </c>
      <c r="P33" s="19" t="str">
        <f t="shared" si="61"/>
        <v>n/a</v>
      </c>
      <c r="Q33" s="19"/>
      <c r="R33" s="15">
        <f t="shared" si="56"/>
        <v>4.9171566007482632E-2</v>
      </c>
      <c r="S33" s="15">
        <f t="shared" si="56"/>
        <v>0.10115911485774499</v>
      </c>
      <c r="T33" s="15" t="str">
        <f t="shared" si="56"/>
        <v>n/a</v>
      </c>
      <c r="U33" s="19">
        <f t="shared" si="62"/>
        <v>7.5165340432613817E-2</v>
      </c>
      <c r="V33" s="10" t="str">
        <f t="shared" si="57"/>
        <v>CUUnregulatedRevenue</v>
      </c>
      <c r="W33" s="10" t="str">
        <f t="shared" si="60"/>
        <v>CUOtherUnregulatedRevenue</v>
      </c>
      <c r="AB33" s="24"/>
      <c r="AC33" s="15"/>
      <c r="AD33" s="15"/>
      <c r="AE33" s="15"/>
      <c r="AF33" s="19"/>
      <c r="AG33" s="24"/>
    </row>
    <row r="34" spans="2:33" x14ac:dyDescent="0.35">
      <c r="C34" s="7" t="s">
        <v>150</v>
      </c>
      <c r="E34" s="16" t="s">
        <v>213</v>
      </c>
      <c r="F34" s="16" t="s">
        <v>161</v>
      </c>
      <c r="G34" s="16" t="s">
        <v>192</v>
      </c>
      <c r="H34" t="s">
        <v>186</v>
      </c>
      <c r="I34" s="8">
        <v>-67</v>
      </c>
      <c r="J34" s="8">
        <v>-127</v>
      </c>
      <c r="K34" s="8" t="s">
        <v>144</v>
      </c>
      <c r="L34" s="8"/>
      <c r="M34" s="15" t="str">
        <f t="shared" si="55"/>
        <v>n/a</v>
      </c>
      <c r="N34" s="15" t="str">
        <f t="shared" si="55"/>
        <v>n/a</v>
      </c>
      <c r="O34" s="15" t="str">
        <f t="shared" si="55"/>
        <v>n/a</v>
      </c>
      <c r="P34" s="19" t="str">
        <f t="shared" si="61"/>
        <v>n/a</v>
      </c>
      <c r="Q34" s="19"/>
      <c r="R34" s="15">
        <f t="shared" si="56"/>
        <v>-1.7904863709246391E-2</v>
      </c>
      <c r="S34" s="15">
        <f t="shared" si="56"/>
        <v>-3.3456269757639621E-2</v>
      </c>
      <c r="T34" s="15" t="str">
        <f t="shared" si="56"/>
        <v>n/a</v>
      </c>
      <c r="U34" s="19">
        <f t="shared" si="62"/>
        <v>-2.5680566733443006E-2</v>
      </c>
      <c r="V34" s="10" t="str">
        <f t="shared" si="57"/>
        <v>CUUnregulatedRevenue</v>
      </c>
      <c r="W34" s="10" t="str">
        <f t="shared" si="60"/>
        <v>CUOtherUnregulatedRevenue</v>
      </c>
      <c r="AB34" s="24"/>
      <c r="AC34" s="15"/>
      <c r="AD34" s="15"/>
      <c r="AE34" s="15"/>
      <c r="AF34" s="19"/>
      <c r="AG34" s="24"/>
    </row>
    <row r="35" spans="2:33" x14ac:dyDescent="0.35">
      <c r="M35" s="15"/>
      <c r="N35" s="15"/>
      <c r="O35" s="15"/>
      <c r="P35" s="19"/>
      <c r="Q35" s="19"/>
      <c r="R35" s="15"/>
      <c r="S35" s="15"/>
      <c r="T35" s="15"/>
      <c r="U35" s="19"/>
      <c r="AB35" s="24"/>
      <c r="AC35" s="15"/>
      <c r="AD35" s="15"/>
      <c r="AE35" s="15"/>
      <c r="AF35" s="19"/>
      <c r="AG35" s="24"/>
    </row>
    <row r="36" spans="2:33" x14ac:dyDescent="0.35">
      <c r="E36" s="5" t="s">
        <v>194</v>
      </c>
      <c r="F36" s="5" t="s">
        <v>198</v>
      </c>
      <c r="G36" s="5" t="s">
        <v>191</v>
      </c>
      <c r="H36" s="5" t="s">
        <v>193</v>
      </c>
      <c r="I36" s="9">
        <v>2024</v>
      </c>
      <c r="J36" s="9">
        <v>2023</v>
      </c>
      <c r="K36" s="9">
        <v>2022</v>
      </c>
      <c r="L36" s="9"/>
      <c r="M36" s="14">
        <f>I36</f>
        <v>2024</v>
      </c>
      <c r="N36" s="14">
        <f t="shared" ref="N36" si="63">J36</f>
        <v>2023</v>
      </c>
      <c r="O36" s="14">
        <f t="shared" ref="O36" si="64">K36</f>
        <v>2022</v>
      </c>
      <c r="P36" s="18" t="s">
        <v>197</v>
      </c>
      <c r="Q36" s="18"/>
      <c r="R36" s="14">
        <f>M36</f>
        <v>2024</v>
      </c>
      <c r="S36" s="14">
        <f t="shared" ref="S36" si="65">N36</f>
        <v>2023</v>
      </c>
      <c r="T36" s="14">
        <f t="shared" ref="T36" si="66">O36</f>
        <v>2022</v>
      </c>
      <c r="U36" s="18" t="s">
        <v>197</v>
      </c>
      <c r="Y36" s="12"/>
      <c r="Z36" s="25" t="s">
        <v>248</v>
      </c>
      <c r="AC36" s="14">
        <f>R36</f>
        <v>2024</v>
      </c>
      <c r="AD36" s="14">
        <f t="shared" ref="AD36" si="67">S36</f>
        <v>2023</v>
      </c>
      <c r="AE36" s="14">
        <f t="shared" ref="AE36" si="68">T36</f>
        <v>2022</v>
      </c>
      <c r="AF36" s="18" t="s">
        <v>197</v>
      </c>
    </row>
    <row r="37" spans="2:33" x14ac:dyDescent="0.35">
      <c r="C37" s="7" t="s">
        <v>150</v>
      </c>
      <c r="E37" s="16" t="s">
        <v>208</v>
      </c>
      <c r="F37" s="16" t="s">
        <v>187</v>
      </c>
      <c r="G37" s="16" t="s">
        <v>163</v>
      </c>
      <c r="H37" t="s">
        <v>195</v>
      </c>
      <c r="I37" s="8">
        <v>353</v>
      </c>
      <c r="J37" s="8">
        <v>352</v>
      </c>
      <c r="K37" s="8" t="s">
        <v>144</v>
      </c>
      <c r="L37" s="8"/>
      <c r="M37" s="15">
        <f t="shared" ref="M37:O43" si="69">IFERROR(IF($G37="Regulated", I37/SUMIFS(I:I,$C:$C,$C37,$G:$G,"Regulated", $H:$H, $H37), "n/a"), "n/a")</f>
        <v>0.51382823871906846</v>
      </c>
      <c r="N37" s="15">
        <f t="shared" si="69"/>
        <v>0.57422512234910272</v>
      </c>
      <c r="O37" s="15" t="str">
        <f t="shared" si="69"/>
        <v>n/a</v>
      </c>
      <c r="P37" s="19">
        <f>IFERROR(AVERAGE(M37:O37), "n/a")</f>
        <v>0.54402668053408565</v>
      </c>
      <c r="Q37" s="19"/>
      <c r="R37" s="15">
        <f t="shared" ref="R37:T43" si="70">IFERROR(I37/SUMIFS(I:I,$C:$C,$C37, $H:$H, $H37), "n/a")</f>
        <v>0.56570512820512819</v>
      </c>
      <c r="S37" s="15">
        <f t="shared" si="70"/>
        <v>0.3846994535519126</v>
      </c>
      <c r="T37" s="15" t="str">
        <f t="shared" si="70"/>
        <v>n/a</v>
      </c>
      <c r="U37" s="19">
        <f>IFERROR(AVERAGE(R37:T37), "n/a")</f>
        <v>0.47520229087852039</v>
      </c>
      <c r="V37" s="10" t="str">
        <f t="shared" ref="V37:V43" si="71">C37&amp;G37&amp;H37</f>
        <v>CURegulatedOperating Income</v>
      </c>
      <c r="W37" s="10" t="str">
        <f>C37&amp;F37&amp;G37&amp;H37</f>
        <v>CUElectricRegulatedOperating Income</v>
      </c>
      <c r="Y37" s="10" t="s">
        <v>251</v>
      </c>
      <c r="Z37" s="28">
        <f>SUMIF(W:W, Y37, U:U)/SUMIF(V:V, C37&amp;G37&amp;H37, U:U)</f>
        <v>0.57308204688478193</v>
      </c>
      <c r="AB37" s="24" t="s">
        <v>203</v>
      </c>
      <c r="AC37" s="15">
        <f>IFERROR(SUMIFS(I:I,$C:$C,$C37, $G:$G, "Regulated", $H:$H, "Operating Income")/SUMIFS(I:I,$C:$C,$C37, $H:$H, "Operating Income"), "n/a")</f>
        <v>1.1009615384615385</v>
      </c>
      <c r="AD37" s="15">
        <f>IFERROR(SUMIFS(J:J,$C:$C,$C37, $G:$G, "Regulated", $H:$H, "Operating Income")/SUMIFS(J:J,$C:$C,$C37, $H:$H, "Operating Income"), "n/a")</f>
        <v>0.66994535519125686</v>
      </c>
      <c r="AE37" s="15" t="str">
        <f>IFERROR(SUMIFS(K:K,$C:$C,$C37, $G:$G, "Regulated", $H:$H, "Operating Income")/SUMIFS(K:K,$C:$C,$C37, $H:$H, "Operating Income"), "n/a")</f>
        <v>n/a</v>
      </c>
      <c r="AF37" s="19">
        <f>IFERROR(AVERAGE(AC37:AE37), "n/a")</f>
        <v>0.88545344682639771</v>
      </c>
      <c r="AG37" s="24" t="str">
        <f>C37&amp;AB37</f>
        <v>CURegulatedOperating Income</v>
      </c>
    </row>
    <row r="38" spans="2:33" x14ac:dyDescent="0.35">
      <c r="C38" s="7" t="s">
        <v>150</v>
      </c>
      <c r="E38" s="16" t="s">
        <v>209</v>
      </c>
      <c r="F38" s="16" t="s">
        <v>164</v>
      </c>
      <c r="G38" s="16" t="s">
        <v>163</v>
      </c>
      <c r="H38" t="s">
        <v>195</v>
      </c>
      <c r="I38" s="8">
        <v>304</v>
      </c>
      <c r="J38" s="8">
        <v>246</v>
      </c>
      <c r="K38" s="8" t="s">
        <v>144</v>
      </c>
      <c r="L38" s="8"/>
      <c r="M38" s="15">
        <f t="shared" si="69"/>
        <v>0.44250363901018924</v>
      </c>
      <c r="N38" s="15">
        <f t="shared" si="69"/>
        <v>0.40130505709624797</v>
      </c>
      <c r="O38" s="15" t="str">
        <f t="shared" si="69"/>
        <v>n/a</v>
      </c>
      <c r="P38" s="19">
        <f t="shared" ref="P38:P39" si="72">IFERROR(AVERAGE(M38:O38), "n/a")</f>
        <v>0.42190434805321864</v>
      </c>
      <c r="Q38" s="19"/>
      <c r="R38" s="15">
        <f t="shared" si="70"/>
        <v>0.48717948717948717</v>
      </c>
      <c r="S38" s="15">
        <f t="shared" si="70"/>
        <v>0.26885245901639343</v>
      </c>
      <c r="T38" s="15" t="str">
        <f t="shared" si="70"/>
        <v>n/a</v>
      </c>
      <c r="U38" s="19">
        <f t="shared" ref="U38:U39" si="73">IFERROR(AVERAGE(R38:T38), "n/a")</f>
        <v>0.37801597309794033</v>
      </c>
      <c r="V38" s="10" t="str">
        <f t="shared" si="71"/>
        <v>CURegulatedOperating Income</v>
      </c>
      <c r="W38" s="10" t="str">
        <f t="shared" ref="W38:W43" si="74">C38&amp;F38&amp;G38&amp;H38</f>
        <v>CUGasRegulatedOperating Income</v>
      </c>
      <c r="Y38" s="10" t="s">
        <v>252</v>
      </c>
      <c r="Z38" s="28">
        <f>SUMIF(W:W, Y38, U:U)/SUMIF(V:V, C38&amp;G38&amp;H38, U:U)</f>
        <v>0.42691795311521813</v>
      </c>
      <c r="AB38" s="24" t="s">
        <v>204</v>
      </c>
      <c r="AC38" s="15">
        <f>IFERROR(SUMIFS(I:I,$C:$C,$C38, $G:$G, "Unregulated", $H:$H, "Operating Income")/SUMIFS(I:I,$C:$C,$C38, $H:$H, "Operating Income"), "n/a")</f>
        <v>-0.10096153846153846</v>
      </c>
      <c r="AD38" s="15">
        <f>IFERROR(SUMIFS(J:J,$C:$C,$C38, $G:$G, "Unregulated", $H:$H, "Operating Income")/SUMIFS(J:J,$C:$C,$C38, $H:$H, "Operating Income"), "n/a")</f>
        <v>0.33005464480874319</v>
      </c>
      <c r="AE38" s="15" t="str">
        <f>IFERROR(SUMIFS(K:K,$C:$C,$C38, $G:$G, "Unregulated", $H:$H, "Operating Income")/SUMIFS(K:K,$C:$C,$C38, $H:$H, "Operating Income"), "n/a")</f>
        <v>n/a</v>
      </c>
      <c r="AF38" s="19">
        <f>IFERROR(AVERAGE(AC38:AE38), "n/a")</f>
        <v>0.11454655317360236</v>
      </c>
      <c r="AG38" s="24" t="str">
        <f>C38&amp;AB38</f>
        <v>CUUnregulatedOperating Income</v>
      </c>
    </row>
    <row r="39" spans="2:33" x14ac:dyDescent="0.35">
      <c r="C39" s="7" t="s">
        <v>150</v>
      </c>
      <c r="E39" s="16" t="s">
        <v>210</v>
      </c>
      <c r="F39" s="16" t="s">
        <v>161</v>
      </c>
      <c r="G39" s="16" t="s">
        <v>192</v>
      </c>
      <c r="H39" t="s">
        <v>195</v>
      </c>
      <c r="I39" s="8">
        <v>0</v>
      </c>
      <c r="J39" s="8">
        <v>0</v>
      </c>
      <c r="K39" s="8" t="s">
        <v>144</v>
      </c>
      <c r="L39" s="8"/>
      <c r="M39" s="15" t="str">
        <f t="shared" si="69"/>
        <v>n/a</v>
      </c>
      <c r="N39" s="15" t="str">
        <f t="shared" si="69"/>
        <v>n/a</v>
      </c>
      <c r="O39" s="15" t="str">
        <f t="shared" si="69"/>
        <v>n/a</v>
      </c>
      <c r="P39" s="19" t="str">
        <f t="shared" si="72"/>
        <v>n/a</v>
      </c>
      <c r="Q39" s="19"/>
      <c r="R39" s="15">
        <f t="shared" si="70"/>
        <v>0</v>
      </c>
      <c r="S39" s="15">
        <f t="shared" si="70"/>
        <v>0</v>
      </c>
      <c r="T39" s="15" t="str">
        <f t="shared" si="70"/>
        <v>n/a</v>
      </c>
      <c r="U39" s="19">
        <f t="shared" si="73"/>
        <v>0</v>
      </c>
      <c r="V39" s="10" t="str">
        <f t="shared" si="71"/>
        <v>CUUnregulatedOperating Income</v>
      </c>
      <c r="W39" s="10" t="str">
        <f t="shared" si="74"/>
        <v>CUOtherUnregulatedOperating Income</v>
      </c>
      <c r="AB39" s="24"/>
      <c r="AC39" s="15"/>
      <c r="AD39" s="15"/>
      <c r="AE39" s="15"/>
      <c r="AF39" s="19"/>
      <c r="AG39" s="24"/>
    </row>
    <row r="40" spans="2:33" x14ac:dyDescent="0.35">
      <c r="C40" s="7" t="s">
        <v>150</v>
      </c>
      <c r="E40" s="16" t="s">
        <v>211</v>
      </c>
      <c r="F40" s="16" t="s">
        <v>187</v>
      </c>
      <c r="G40" s="16" t="s">
        <v>192</v>
      </c>
      <c r="H40" t="s">
        <v>195</v>
      </c>
      <c r="I40" s="8">
        <v>61</v>
      </c>
      <c r="J40" s="8">
        <v>66</v>
      </c>
      <c r="K40" s="8" t="s">
        <v>144</v>
      </c>
      <c r="L40" s="8"/>
      <c r="M40" s="15" t="str">
        <f t="shared" si="69"/>
        <v>n/a</v>
      </c>
      <c r="N40" s="15" t="str">
        <f t="shared" si="69"/>
        <v>n/a</v>
      </c>
      <c r="O40" s="15" t="str">
        <f t="shared" si="69"/>
        <v>n/a</v>
      </c>
      <c r="P40" s="19" t="str">
        <f t="shared" ref="P40:P43" si="75">IFERROR(AVERAGE(M40:O40), "n/a")</f>
        <v>n/a</v>
      </c>
      <c r="Q40" s="19"/>
      <c r="R40" s="15">
        <f t="shared" si="70"/>
        <v>9.7756410256410256E-2</v>
      </c>
      <c r="S40" s="15">
        <f t="shared" si="70"/>
        <v>7.2131147540983612E-2</v>
      </c>
      <c r="T40" s="15" t="str">
        <f t="shared" si="70"/>
        <v>n/a</v>
      </c>
      <c r="U40" s="19">
        <f t="shared" ref="U40:U43" si="76">IFERROR(AVERAGE(R40:T40), "n/a")</f>
        <v>8.4943778898696934E-2</v>
      </c>
      <c r="V40" s="10" t="str">
        <f t="shared" si="71"/>
        <v>CUUnregulatedOperating Income</v>
      </c>
      <c r="W40" s="10" t="str">
        <f t="shared" si="74"/>
        <v>CUElectricUnregulatedOperating Income</v>
      </c>
      <c r="AB40" s="24"/>
      <c r="AC40" s="15"/>
      <c r="AD40" s="15"/>
      <c r="AE40" s="15"/>
      <c r="AF40" s="19"/>
      <c r="AG40" s="24"/>
    </row>
    <row r="41" spans="2:33" x14ac:dyDescent="0.35">
      <c r="C41" s="7" t="s">
        <v>150</v>
      </c>
      <c r="E41" s="16" t="s">
        <v>212</v>
      </c>
      <c r="F41" s="16" t="s">
        <v>187</v>
      </c>
      <c r="G41" s="16" t="s">
        <v>163</v>
      </c>
      <c r="H41" t="s">
        <v>195</v>
      </c>
      <c r="I41" s="8">
        <v>30</v>
      </c>
      <c r="J41" s="8">
        <v>15</v>
      </c>
      <c r="K41" s="8" t="s">
        <v>144</v>
      </c>
      <c r="L41" s="8"/>
      <c r="M41" s="15">
        <f t="shared" si="69"/>
        <v>4.3668122270742356E-2</v>
      </c>
      <c r="N41" s="15">
        <f t="shared" si="69"/>
        <v>2.4469820554649267E-2</v>
      </c>
      <c r="O41" s="15" t="str">
        <f t="shared" si="69"/>
        <v>n/a</v>
      </c>
      <c r="P41" s="19">
        <f t="shared" si="75"/>
        <v>3.4068971412695812E-2</v>
      </c>
      <c r="Q41" s="19"/>
      <c r="R41" s="15">
        <f t="shared" si="70"/>
        <v>4.807692307692308E-2</v>
      </c>
      <c r="S41" s="15">
        <f t="shared" si="70"/>
        <v>1.6393442622950821E-2</v>
      </c>
      <c r="T41" s="15" t="str">
        <f t="shared" si="70"/>
        <v>n/a</v>
      </c>
      <c r="U41" s="19">
        <f t="shared" si="76"/>
        <v>3.2235182849936948E-2</v>
      </c>
      <c r="V41" s="10" t="str">
        <f t="shared" si="71"/>
        <v>CURegulatedOperating Income</v>
      </c>
      <c r="W41" s="10" t="str">
        <f t="shared" si="74"/>
        <v>CUElectricRegulatedOperating Income</v>
      </c>
      <c r="AB41" s="24"/>
      <c r="AC41" s="15"/>
      <c r="AD41" s="15"/>
      <c r="AE41" s="15"/>
      <c r="AF41" s="19"/>
      <c r="AG41" s="24"/>
    </row>
    <row r="42" spans="2:33" x14ac:dyDescent="0.35">
      <c r="C42" s="7" t="s">
        <v>150</v>
      </c>
      <c r="E42" s="16" t="s">
        <v>199</v>
      </c>
      <c r="F42" s="16" t="s">
        <v>161</v>
      </c>
      <c r="G42" s="16" t="s">
        <v>192</v>
      </c>
      <c r="H42" t="s">
        <v>195</v>
      </c>
      <c r="I42" s="8">
        <v>-124</v>
      </c>
      <c r="J42" s="8">
        <v>236</v>
      </c>
      <c r="K42" s="8" t="s">
        <v>144</v>
      </c>
      <c r="L42" s="8"/>
      <c r="M42" s="15" t="str">
        <f t="shared" si="69"/>
        <v>n/a</v>
      </c>
      <c r="N42" s="15" t="str">
        <f t="shared" si="69"/>
        <v>n/a</v>
      </c>
      <c r="O42" s="15" t="str">
        <f t="shared" si="69"/>
        <v>n/a</v>
      </c>
      <c r="P42" s="19" t="str">
        <f t="shared" si="75"/>
        <v>n/a</v>
      </c>
      <c r="Q42" s="19"/>
      <c r="R42" s="15">
        <f t="shared" si="70"/>
        <v>-0.19871794871794871</v>
      </c>
      <c r="S42" s="15">
        <f t="shared" si="70"/>
        <v>0.25792349726775954</v>
      </c>
      <c r="T42" s="15" t="str">
        <f t="shared" si="70"/>
        <v>n/a</v>
      </c>
      <c r="U42" s="19">
        <f t="shared" si="76"/>
        <v>2.9602774274905416E-2</v>
      </c>
      <c r="V42" s="10" t="str">
        <f t="shared" si="71"/>
        <v>CUUnregulatedOperating Income</v>
      </c>
      <c r="W42" s="10" t="str">
        <f t="shared" si="74"/>
        <v>CUOtherUnregulatedOperating Income</v>
      </c>
      <c r="AB42" s="24"/>
      <c r="AC42" s="15"/>
      <c r="AD42" s="15"/>
      <c r="AE42" s="15"/>
      <c r="AF42" s="19"/>
      <c r="AG42" s="24"/>
    </row>
    <row r="43" spans="2:33" x14ac:dyDescent="0.35">
      <c r="C43" s="7" t="s">
        <v>150</v>
      </c>
      <c r="E43" s="16" t="s">
        <v>213</v>
      </c>
      <c r="F43" s="16" t="s">
        <v>161</v>
      </c>
      <c r="G43" s="16" t="s">
        <v>192</v>
      </c>
      <c r="H43" t="s">
        <v>195</v>
      </c>
      <c r="I43" s="8">
        <v>0</v>
      </c>
      <c r="J43" s="8">
        <v>0</v>
      </c>
      <c r="K43" s="8" t="s">
        <v>144</v>
      </c>
      <c r="L43" s="8"/>
      <c r="M43" s="15" t="str">
        <f t="shared" si="69"/>
        <v>n/a</v>
      </c>
      <c r="N43" s="15" t="str">
        <f t="shared" si="69"/>
        <v>n/a</v>
      </c>
      <c r="O43" s="15" t="str">
        <f t="shared" si="69"/>
        <v>n/a</v>
      </c>
      <c r="P43" s="19" t="str">
        <f t="shared" si="75"/>
        <v>n/a</v>
      </c>
      <c r="Q43" s="19"/>
      <c r="R43" s="15">
        <f t="shared" si="70"/>
        <v>0</v>
      </c>
      <c r="S43" s="15">
        <f t="shared" si="70"/>
        <v>0</v>
      </c>
      <c r="T43" s="15" t="str">
        <f t="shared" si="70"/>
        <v>n/a</v>
      </c>
      <c r="U43" s="19">
        <f t="shared" si="76"/>
        <v>0</v>
      </c>
      <c r="V43" s="10" t="str">
        <f t="shared" si="71"/>
        <v>CUUnregulatedOperating Income</v>
      </c>
      <c r="W43" s="10" t="str">
        <f t="shared" si="74"/>
        <v>CUOtherUnregulatedOperating Income</v>
      </c>
      <c r="AB43" s="24"/>
      <c r="AC43" s="15"/>
      <c r="AD43" s="15"/>
      <c r="AE43" s="15"/>
      <c r="AF43" s="19"/>
      <c r="AG43" s="24"/>
    </row>
    <row r="45" spans="2:33" s="5" customFormat="1" x14ac:dyDescent="0.35">
      <c r="B45" s="5" t="s">
        <v>151</v>
      </c>
      <c r="C45" s="9"/>
      <c r="E45" s="5" t="s">
        <v>194</v>
      </c>
      <c r="F45" s="5" t="s">
        <v>198</v>
      </c>
      <c r="G45" s="5" t="s">
        <v>191</v>
      </c>
      <c r="H45" s="5" t="s">
        <v>193</v>
      </c>
      <c r="I45" s="9">
        <v>2024</v>
      </c>
      <c r="J45" s="9">
        <v>2023</v>
      </c>
      <c r="K45" s="9">
        <v>2022</v>
      </c>
      <c r="L45" s="9"/>
      <c r="M45" s="25">
        <f>I45</f>
        <v>2024</v>
      </c>
      <c r="N45" s="25">
        <f t="shared" ref="N45" si="77">J45</f>
        <v>2023</v>
      </c>
      <c r="O45" s="25">
        <f t="shared" ref="O45" si="78">K45</f>
        <v>2022</v>
      </c>
      <c r="P45" s="26" t="s">
        <v>197</v>
      </c>
      <c r="Q45" s="26"/>
      <c r="R45" s="25">
        <f>M45</f>
        <v>2024</v>
      </c>
      <c r="S45" s="25">
        <f t="shared" ref="S45" si="79">N45</f>
        <v>2023</v>
      </c>
      <c r="T45" s="25">
        <f t="shared" ref="T45" si="80">O45</f>
        <v>2022</v>
      </c>
      <c r="U45" s="26" t="s">
        <v>197</v>
      </c>
      <c r="V45" s="12"/>
      <c r="W45" s="12"/>
      <c r="X45" s="12"/>
      <c r="Y45" s="12"/>
      <c r="Z45" s="25" t="s">
        <v>248</v>
      </c>
      <c r="AB45" s="27"/>
      <c r="AC45" s="25">
        <f>R45</f>
        <v>2024</v>
      </c>
      <c r="AD45" s="25">
        <f t="shared" ref="AD45" si="81">S45</f>
        <v>2023</v>
      </c>
      <c r="AE45" s="25">
        <f t="shared" ref="AE45" si="82">T45</f>
        <v>2022</v>
      </c>
      <c r="AF45" s="26" t="s">
        <v>197</v>
      </c>
      <c r="AG45" s="27"/>
    </row>
    <row r="46" spans="2:33" x14ac:dyDescent="0.35">
      <c r="B46" t="s">
        <v>225</v>
      </c>
      <c r="C46" s="7" t="s">
        <v>152</v>
      </c>
      <c r="E46" s="16" t="s">
        <v>220</v>
      </c>
      <c r="F46" s="16" t="s">
        <v>187</v>
      </c>
      <c r="G46" s="16" t="s">
        <v>163</v>
      </c>
      <c r="H46" t="s">
        <v>186</v>
      </c>
      <c r="I46" s="8">
        <v>3460</v>
      </c>
      <c r="J46" s="8">
        <v>3556</v>
      </c>
      <c r="K46" s="8">
        <v>3287</v>
      </c>
      <c r="L46" s="8"/>
      <c r="M46" s="15">
        <f t="shared" ref="M46:O51" si="83">IFERROR(IF($G46="Regulated", I46/SUMIFS(I:I,$C:$C,$C46,$G:$G,"Regulated", $H:$H, $H46), "n/a"), "n/a")</f>
        <v>0.49971114962449453</v>
      </c>
      <c r="N46" s="15">
        <f t="shared" si="83"/>
        <v>0.52673677973633537</v>
      </c>
      <c r="O46" s="15">
        <f t="shared" si="83"/>
        <v>0.4930993099309931</v>
      </c>
      <c r="P46" s="19">
        <f>IFERROR(AVERAGE(M46:O46), "n/a")</f>
        <v>0.50651574643060771</v>
      </c>
      <c r="Q46" s="19"/>
      <c r="R46" s="15">
        <f t="shared" ref="R46:T51" si="84">IFERROR(I46/SUMIFS(I:I,$C:$C,$C46, $H:$H, $H46), "n/a")</f>
        <v>0.48055555555555557</v>
      </c>
      <c r="S46" s="15">
        <f t="shared" si="84"/>
        <v>0.47018378950152057</v>
      </c>
      <c r="T46" s="15">
        <f t="shared" si="84"/>
        <v>0.43318397469688985</v>
      </c>
      <c r="U46" s="19">
        <f>IFERROR(AVERAGE(R46:T46), "n/a")</f>
        <v>0.461307773251322</v>
      </c>
      <c r="V46" s="10" t="str">
        <f t="shared" ref="V46:V51" si="85">C46&amp;G46&amp;H46</f>
        <v>EMARegulatedRevenue</v>
      </c>
      <c r="W46" s="10" t="str">
        <f t="shared" ref="W46:W51" si="86">C46&amp;F46&amp;G46&amp;H46</f>
        <v>EMAElectricRegulatedRevenue</v>
      </c>
      <c r="Y46" s="10" t="s">
        <v>253</v>
      </c>
      <c r="Z46" s="28">
        <f>SUMIF(W:W, Y46, U:U)/SUMIF(V:V, C46&amp;G46&amp;H46, U:U)</f>
        <v>0.76231482837024622</v>
      </c>
      <c r="AB46" s="24" t="s">
        <v>201</v>
      </c>
      <c r="AC46" s="15">
        <f>IFERROR(SUMIFS(I:I,$C:$C,$C46, $G:$G, "Regulated", $H:$H, "Revenue")/SUMIFS(I:I,$C:$C,$C46, $H:$H, "Revenue"), "n/a")</f>
        <v>0.96166666666666667</v>
      </c>
      <c r="AD46" s="15">
        <f>IFERROR(SUMIFS(J:J,$C:$C,$C46, $G:$G, "Regulated", $H:$H, "Revenue")/SUMIFS(J:J,$C:$C,$C46, $H:$H, "Revenue"), "n/a")</f>
        <v>0.89263519767288113</v>
      </c>
      <c r="AE46" s="15">
        <f>IFERROR(SUMIFS(K:K,$C:$C,$C46, $G:$G, "Regulated", $H:$H, "Revenue")/SUMIFS(K:K,$C:$C,$C46, $H:$H, "Revenue"), "n/a")</f>
        <v>0.87849235635213496</v>
      </c>
      <c r="AF46" s="19">
        <f>IFERROR(AVERAGE(AC46:AE46), "n/a")</f>
        <v>0.91093140689722762</v>
      </c>
      <c r="AG46" s="24" t="str">
        <f>C46&amp;AB46</f>
        <v>EMARegulatedRevenue</v>
      </c>
    </row>
    <row r="47" spans="2:33" x14ac:dyDescent="0.35">
      <c r="B47" t="s">
        <v>226</v>
      </c>
      <c r="C47" s="7" t="s">
        <v>152</v>
      </c>
      <c r="E47" s="16" t="s">
        <v>221</v>
      </c>
      <c r="F47" s="16" t="s">
        <v>187</v>
      </c>
      <c r="G47" s="16" t="s">
        <v>163</v>
      </c>
      <c r="H47" t="s">
        <v>186</v>
      </c>
      <c r="I47" s="8">
        <v>1855</v>
      </c>
      <c r="J47" s="8">
        <v>1671</v>
      </c>
      <c r="K47" s="8">
        <v>1675</v>
      </c>
      <c r="L47" s="8"/>
      <c r="M47" s="15">
        <f t="shared" si="83"/>
        <v>0.26790872328134024</v>
      </c>
      <c r="N47" s="15">
        <f t="shared" si="83"/>
        <v>0.24751888609094949</v>
      </c>
      <c r="O47" s="15">
        <f t="shared" si="83"/>
        <v>0.25127512751275127</v>
      </c>
      <c r="P47" s="19">
        <f t="shared" ref="P47:P51" si="87">IFERROR(AVERAGE(M47:O47), "n/a")</f>
        <v>0.25556757896168031</v>
      </c>
      <c r="Q47" s="19"/>
      <c r="R47" s="15">
        <f t="shared" si="84"/>
        <v>0.25763888888888886</v>
      </c>
      <c r="S47" s="15">
        <f t="shared" si="84"/>
        <v>0.22094406981356604</v>
      </c>
      <c r="T47" s="15">
        <f t="shared" si="84"/>
        <v>0.22074327886136005</v>
      </c>
      <c r="U47" s="19">
        <f t="shared" ref="U47:U51" si="88">IFERROR(AVERAGE(R47:T47), "n/a")</f>
        <v>0.23310874585460498</v>
      </c>
      <c r="V47" s="10" t="str">
        <f t="shared" si="85"/>
        <v>EMARegulatedRevenue</v>
      </c>
      <c r="W47" s="10" t="str">
        <f t="shared" si="86"/>
        <v>EMAElectricRegulatedRevenue</v>
      </c>
      <c r="Y47" s="10" t="s">
        <v>254</v>
      </c>
      <c r="Z47" s="28">
        <f>SUMIF(W:W, Y47, U:U)/SUMIF(V:V, C47&amp;G47&amp;H47, U:U)</f>
        <v>0.23768517162975378</v>
      </c>
      <c r="AB47" s="24" t="s">
        <v>202</v>
      </c>
      <c r="AC47" s="15">
        <f>IFERROR(SUMIFS(I:I,$C:$C,$C47, $G:$G, "Unregulated", $H:$H, "Revenue")/SUMIFS(I:I,$C:$C,$C47, $H:$H, "Revenue"), "n/a")</f>
        <v>3.833333333333333E-2</v>
      </c>
      <c r="AD47" s="15">
        <f>IFERROR(SUMIFS(J:J,$C:$C,$C47, $G:$G, "Unregulated", $H:$H, "Revenue")/SUMIFS(J:J,$C:$C,$C47, $H:$H, "Revenue"), "n/a")</f>
        <v>0.10736480232711887</v>
      </c>
      <c r="AE47" s="15">
        <f>IFERROR(SUMIFS(K:K,$C:$C,$C47, $G:$G, "Unregulated", $H:$H, "Revenue")/SUMIFS(K:K,$C:$C,$C47, $H:$H, "Revenue"), "n/a")</f>
        <v>0.12150764364786505</v>
      </c>
      <c r="AF47" s="19">
        <f>IFERROR(AVERAGE(AC47:AE47), "n/a")</f>
        <v>8.9068593102772417E-2</v>
      </c>
      <c r="AG47" s="24" t="str">
        <f>C47&amp;AB47</f>
        <v>EMAUnregulatedRevenue</v>
      </c>
    </row>
    <row r="48" spans="2:33" x14ac:dyDescent="0.35">
      <c r="C48" s="7" t="s">
        <v>152</v>
      </c>
      <c r="E48" s="16" t="s">
        <v>222</v>
      </c>
      <c r="F48" s="16" t="s">
        <v>164</v>
      </c>
      <c r="G48" s="16" t="s">
        <v>163</v>
      </c>
      <c r="H48" t="s">
        <v>186</v>
      </c>
      <c r="I48" s="8">
        <v>1609</v>
      </c>
      <c r="J48" s="8">
        <v>1524</v>
      </c>
      <c r="K48" s="8">
        <v>1704</v>
      </c>
      <c r="L48" s="8"/>
      <c r="M48" s="15">
        <f t="shared" si="83"/>
        <v>0.23238012709416522</v>
      </c>
      <c r="N48" s="15">
        <f t="shared" si="83"/>
        <v>0.22574433417271517</v>
      </c>
      <c r="O48" s="15">
        <f t="shared" si="83"/>
        <v>0.25562556255625563</v>
      </c>
      <c r="P48" s="19">
        <f t="shared" si="87"/>
        <v>0.23791667460771201</v>
      </c>
      <c r="Q48" s="19"/>
      <c r="R48" s="15">
        <f t="shared" si="84"/>
        <v>0.22347222222222221</v>
      </c>
      <c r="S48" s="15">
        <f t="shared" si="84"/>
        <v>0.20150733835779452</v>
      </c>
      <c r="T48" s="15">
        <f t="shared" si="84"/>
        <v>0.22456510279388509</v>
      </c>
      <c r="U48" s="19">
        <f t="shared" si="88"/>
        <v>0.2165148877913006</v>
      </c>
      <c r="V48" s="10" t="str">
        <f t="shared" si="85"/>
        <v>EMARegulatedRevenue</v>
      </c>
      <c r="W48" s="10" t="str">
        <f t="shared" si="86"/>
        <v>EMAGasRegulatedRevenue</v>
      </c>
      <c r="AB48" s="24"/>
      <c r="AC48" s="15"/>
      <c r="AD48" s="15"/>
      <c r="AE48" s="15"/>
      <c r="AF48" s="19"/>
      <c r="AG48" s="24"/>
    </row>
    <row r="49" spans="2:33" x14ac:dyDescent="0.35">
      <c r="C49" s="7" t="s">
        <v>152</v>
      </c>
      <c r="E49" s="16" t="s">
        <v>223</v>
      </c>
      <c r="F49" s="16" t="s">
        <v>187</v>
      </c>
      <c r="G49" s="16" t="s">
        <v>192</v>
      </c>
      <c r="H49" t="s">
        <v>186</v>
      </c>
      <c r="I49" s="8">
        <v>566</v>
      </c>
      <c r="J49" s="8">
        <v>526</v>
      </c>
      <c r="K49" s="8">
        <v>518</v>
      </c>
      <c r="L49" s="8"/>
      <c r="M49" s="15" t="str">
        <f t="shared" si="83"/>
        <v>n/a</v>
      </c>
      <c r="N49" s="15" t="str">
        <f t="shared" si="83"/>
        <v>n/a</v>
      </c>
      <c r="O49" s="15" t="str">
        <f t="shared" si="83"/>
        <v>n/a</v>
      </c>
      <c r="P49" s="19" t="str">
        <f t="shared" si="87"/>
        <v>n/a</v>
      </c>
      <c r="Q49" s="19"/>
      <c r="R49" s="15">
        <f t="shared" si="84"/>
        <v>7.8611111111111118E-2</v>
      </c>
      <c r="S49" s="15">
        <f t="shared" si="84"/>
        <v>6.9549120719291285E-2</v>
      </c>
      <c r="T49" s="15">
        <f t="shared" si="84"/>
        <v>6.8265682656826573E-2</v>
      </c>
      <c r="U49" s="19">
        <f t="shared" si="88"/>
        <v>7.2141971495742988E-2</v>
      </c>
      <c r="V49" s="10" t="str">
        <f t="shared" si="85"/>
        <v>EMAUnregulatedRevenue</v>
      </c>
      <c r="W49" s="10" t="str">
        <f t="shared" si="86"/>
        <v>EMAElectricUnregulatedRevenue</v>
      </c>
      <c r="AB49" s="24"/>
      <c r="AC49" s="15"/>
      <c r="AD49" s="15"/>
      <c r="AE49" s="15"/>
      <c r="AF49" s="19"/>
      <c r="AG49" s="24"/>
    </row>
    <row r="50" spans="2:33" x14ac:dyDescent="0.35">
      <c r="C50" s="7" t="s">
        <v>152</v>
      </c>
      <c r="E50" s="16" t="s">
        <v>161</v>
      </c>
      <c r="F50" s="16" t="s">
        <v>161</v>
      </c>
      <c r="G50" s="16" t="s">
        <v>192</v>
      </c>
      <c r="H50" t="s">
        <v>186</v>
      </c>
      <c r="I50" s="8">
        <v>-248</v>
      </c>
      <c r="J50" s="8">
        <v>339</v>
      </c>
      <c r="K50" s="8">
        <v>440</v>
      </c>
      <c r="L50" s="8"/>
      <c r="M50" s="15" t="str">
        <f t="shared" si="83"/>
        <v>n/a</v>
      </c>
      <c r="N50" s="15" t="str">
        <f t="shared" si="83"/>
        <v>n/a</v>
      </c>
      <c r="O50" s="15" t="str">
        <f t="shared" si="83"/>
        <v>n/a</v>
      </c>
      <c r="P50" s="19" t="str">
        <f t="shared" si="87"/>
        <v>n/a</v>
      </c>
      <c r="Q50" s="19"/>
      <c r="R50" s="15">
        <f t="shared" si="84"/>
        <v>-3.4444444444444444E-2</v>
      </c>
      <c r="S50" s="15">
        <f t="shared" si="84"/>
        <v>4.4823482744942481E-2</v>
      </c>
      <c r="T50" s="15">
        <f t="shared" si="84"/>
        <v>5.7986294148655769E-2</v>
      </c>
      <c r="U50" s="19">
        <f t="shared" si="88"/>
        <v>2.2788444149717934E-2</v>
      </c>
      <c r="V50" s="10" t="str">
        <f t="shared" si="85"/>
        <v>EMAUnregulatedRevenue</v>
      </c>
      <c r="W50" s="10" t="str">
        <f t="shared" si="86"/>
        <v>EMAOtherUnregulatedRevenue</v>
      </c>
      <c r="AB50" s="24"/>
      <c r="AC50" s="15"/>
      <c r="AD50" s="15"/>
      <c r="AE50" s="15"/>
      <c r="AF50" s="19"/>
      <c r="AG50" s="24"/>
    </row>
    <row r="51" spans="2:33" x14ac:dyDescent="0.35">
      <c r="C51" s="7" t="s">
        <v>152</v>
      </c>
      <c r="E51" s="16" t="s">
        <v>224</v>
      </c>
      <c r="F51" s="16" t="s">
        <v>161</v>
      </c>
      <c r="G51" s="16" t="s">
        <v>192</v>
      </c>
      <c r="H51" t="s">
        <v>186</v>
      </c>
      <c r="I51" s="8">
        <v>-42</v>
      </c>
      <c r="J51" s="8">
        <v>-53</v>
      </c>
      <c r="K51" s="8">
        <v>-36</v>
      </c>
      <c r="L51" s="8"/>
      <c r="M51" s="15" t="str">
        <f t="shared" si="83"/>
        <v>n/a</v>
      </c>
      <c r="N51" s="15" t="str">
        <f t="shared" si="83"/>
        <v>n/a</v>
      </c>
      <c r="O51" s="15" t="str">
        <f t="shared" si="83"/>
        <v>n/a</v>
      </c>
      <c r="P51" s="19" t="str">
        <f t="shared" si="87"/>
        <v>n/a</v>
      </c>
      <c r="Q51" s="19"/>
      <c r="R51" s="15">
        <f t="shared" si="84"/>
        <v>-5.8333333333333336E-3</v>
      </c>
      <c r="S51" s="15">
        <f t="shared" si="84"/>
        <v>-7.0078011371149012E-3</v>
      </c>
      <c r="T51" s="15">
        <f t="shared" si="84"/>
        <v>-4.7443331576172906E-3</v>
      </c>
      <c r="U51" s="19">
        <f t="shared" si="88"/>
        <v>-5.8618225426885079E-3</v>
      </c>
      <c r="V51" s="10" t="str">
        <f t="shared" si="85"/>
        <v>EMAUnregulatedRevenue</v>
      </c>
      <c r="W51" s="10" t="str">
        <f t="shared" si="86"/>
        <v>EMAOtherUnregulatedRevenue</v>
      </c>
      <c r="AB51" s="24"/>
      <c r="AC51" s="15"/>
      <c r="AD51" s="15"/>
      <c r="AE51" s="15"/>
      <c r="AF51" s="19"/>
      <c r="AG51" s="24"/>
    </row>
    <row r="52" spans="2:33" x14ac:dyDescent="0.35">
      <c r="M52" s="15"/>
      <c r="N52" s="15"/>
      <c r="O52" s="15"/>
      <c r="P52" s="19"/>
      <c r="Q52" s="19"/>
      <c r="R52" s="15"/>
      <c r="S52" s="15"/>
      <c r="T52" s="15"/>
      <c r="U52" s="19"/>
      <c r="AB52" s="24"/>
      <c r="AC52" s="15"/>
      <c r="AD52" s="15"/>
      <c r="AE52" s="15"/>
      <c r="AF52" s="19"/>
      <c r="AG52" s="24"/>
    </row>
    <row r="53" spans="2:33" x14ac:dyDescent="0.35">
      <c r="E53" s="5" t="s">
        <v>194</v>
      </c>
      <c r="F53" s="5" t="s">
        <v>198</v>
      </c>
      <c r="G53" s="5" t="s">
        <v>191</v>
      </c>
      <c r="H53" s="5" t="s">
        <v>193</v>
      </c>
      <c r="I53" s="9">
        <v>2024</v>
      </c>
      <c r="J53" s="9">
        <v>2023</v>
      </c>
      <c r="K53" s="9">
        <v>2022</v>
      </c>
      <c r="L53" s="9"/>
      <c r="M53" s="14">
        <f>I53</f>
        <v>2024</v>
      </c>
      <c r="N53" s="14">
        <f t="shared" ref="N53" si="89">J53</f>
        <v>2023</v>
      </c>
      <c r="O53" s="14">
        <f t="shared" ref="O53" si="90">K53</f>
        <v>2022</v>
      </c>
      <c r="P53" s="18" t="s">
        <v>197</v>
      </c>
      <c r="Q53" s="18"/>
      <c r="R53" s="14">
        <f>M53</f>
        <v>2024</v>
      </c>
      <c r="S53" s="14">
        <f t="shared" ref="S53" si="91">N53</f>
        <v>2023</v>
      </c>
      <c r="T53" s="14">
        <f t="shared" ref="T53" si="92">O53</f>
        <v>2022</v>
      </c>
      <c r="U53" s="18" t="s">
        <v>197</v>
      </c>
      <c r="Z53" s="25" t="s">
        <v>248</v>
      </c>
      <c r="AC53" s="14">
        <f>R53</f>
        <v>2024</v>
      </c>
      <c r="AD53" s="14">
        <f t="shared" ref="AD53" si="93">S53</f>
        <v>2023</v>
      </c>
      <c r="AE53" s="14">
        <f t="shared" ref="AE53" si="94">T53</f>
        <v>2022</v>
      </c>
      <c r="AF53" s="18" t="s">
        <v>197</v>
      </c>
    </row>
    <row r="54" spans="2:33" x14ac:dyDescent="0.35">
      <c r="C54" s="7" t="s">
        <v>152</v>
      </c>
      <c r="E54" s="16" t="s">
        <v>220</v>
      </c>
      <c r="F54" s="16" t="s">
        <v>187</v>
      </c>
      <c r="G54" s="16" t="s">
        <v>163</v>
      </c>
      <c r="H54" t="s">
        <v>195</v>
      </c>
      <c r="I54" s="8">
        <f>641+94+265+622</f>
        <v>1622</v>
      </c>
      <c r="J54" s="8">
        <f>627+271+117+571</f>
        <v>1586</v>
      </c>
      <c r="K54" s="8">
        <f>596+185+121+507</f>
        <v>1409</v>
      </c>
      <c r="L54" s="8"/>
      <c r="M54" s="15">
        <f t="shared" ref="M54:O59" si="95">IFERROR(IF($G54="Regulated", I54/SUMIFS(I:I,$C:$C,$C54,$G:$G,"Regulated", $H:$H, $H54), "n/a"), "n/a")</f>
        <v>0.55095108695652173</v>
      </c>
      <c r="N54" s="15">
        <f t="shared" si="95"/>
        <v>0.56582233321441311</v>
      </c>
      <c r="O54" s="15">
        <f t="shared" si="95"/>
        <v>0.56337465013994403</v>
      </c>
      <c r="P54" s="19">
        <f>IFERROR(AVERAGE(M54:O54), "n/a")</f>
        <v>0.56004935677029299</v>
      </c>
      <c r="Q54" s="19"/>
      <c r="R54" s="15">
        <f t="shared" ref="R54:T59" si="96">IFERROR(I54/SUMIFS(I:I,$C:$C,$C54, $H:$H, $H54), "n/a")</f>
        <v>0.6566801619433198</v>
      </c>
      <c r="S54" s="15">
        <f t="shared" si="96"/>
        <v>0.51493506493506491</v>
      </c>
      <c r="T54" s="15">
        <f t="shared" si="96"/>
        <v>0.50483697599426725</v>
      </c>
      <c r="U54" s="19">
        <f>IFERROR(AVERAGE(R54:T54), "n/a")</f>
        <v>0.55881740095755061</v>
      </c>
      <c r="V54" s="10" t="str">
        <f t="shared" ref="V54:V59" si="97">C54&amp;G54&amp;H54</f>
        <v>EMARegulatedOperating Income</v>
      </c>
      <c r="W54" s="10" t="str">
        <f t="shared" ref="W54:W59" si="98">C54&amp;F54&amp;G54&amp;H54</f>
        <v>EMAElectricRegulatedOperating Income</v>
      </c>
      <c r="Y54" s="10" t="s">
        <v>255</v>
      </c>
      <c r="Z54" s="28">
        <f>SUMIF(W:W, Y54, U:U)/SUMIF(V:V, C54&amp;G54&amp;H54, U:U)</f>
        <v>0.7917572454407672</v>
      </c>
      <c r="AB54" s="24" t="s">
        <v>203</v>
      </c>
      <c r="AC54" s="15">
        <f>IFERROR(SUMIFS(I:I,$C:$C,$C54, $G:$G, "Regulated", $H:$H, "Operating Income")/SUMIFS(I:I,$C:$C,$C54, $H:$H, "Operating Income"), "n/a")</f>
        <v>1.1919028340080973</v>
      </c>
      <c r="AD54" s="15">
        <f>IFERROR(SUMIFS(J:J,$C:$C,$C54, $G:$G, "Regulated", $H:$H, "Operating Income")/SUMIFS(J:J,$C:$C,$C54, $H:$H, "Operating Income"), "n/a")</f>
        <v>0.91006493506493502</v>
      </c>
      <c r="AE54" s="15">
        <f>IFERROR(SUMIFS(K:K,$C:$C,$C54, $G:$G, "Regulated", $H:$H, "Operating Income")/SUMIFS(K:K,$C:$C,$C54, $H:$H, "Operating Income"), "n/a")</f>
        <v>0.89609458975277678</v>
      </c>
      <c r="AF54" s="19">
        <f>IFERROR(AVERAGE(AC54:AE54), "n/a")</f>
        <v>0.99935411960860299</v>
      </c>
      <c r="AG54" s="24" t="str">
        <f>C54&amp;AB54</f>
        <v>EMARegulatedOperating Income</v>
      </c>
    </row>
    <row r="55" spans="2:33" x14ac:dyDescent="0.35">
      <c r="C55" s="7" t="s">
        <v>152</v>
      </c>
      <c r="E55" s="16" t="s">
        <v>221</v>
      </c>
      <c r="F55" s="16" t="s">
        <v>187</v>
      </c>
      <c r="G55" s="16" t="s">
        <v>163</v>
      </c>
      <c r="H55" t="s">
        <v>195</v>
      </c>
      <c r="I55" s="8">
        <f>232+(-41)+168+282</f>
        <v>641</v>
      </c>
      <c r="J55" s="8">
        <f>247+170-9+276</f>
        <v>684</v>
      </c>
      <c r="K55" s="8">
        <f>215+136-8+259</f>
        <v>602</v>
      </c>
      <c r="L55" s="8"/>
      <c r="M55" s="15">
        <f t="shared" si="95"/>
        <v>0.21773097826086957</v>
      </c>
      <c r="N55" s="15">
        <f t="shared" si="95"/>
        <v>0.24402425972172673</v>
      </c>
      <c r="O55" s="15">
        <f t="shared" si="95"/>
        <v>0.24070371851259495</v>
      </c>
      <c r="P55" s="19">
        <f t="shared" ref="P55:P59" si="99">IFERROR(AVERAGE(M55:O55), "n/a")</f>
        <v>0.23415298549839711</v>
      </c>
      <c r="Q55" s="19"/>
      <c r="R55" s="15">
        <f t="shared" si="96"/>
        <v>0.25951417004048583</v>
      </c>
      <c r="S55" s="15">
        <f t="shared" si="96"/>
        <v>0.22207792207792207</v>
      </c>
      <c r="T55" s="15">
        <f t="shared" si="96"/>
        <v>0.21569329989251165</v>
      </c>
      <c r="U55" s="19">
        <f t="shared" ref="U55:U59" si="100">IFERROR(AVERAGE(R55:T55), "n/a")</f>
        <v>0.23242846400363984</v>
      </c>
      <c r="V55" s="10" t="str">
        <f t="shared" si="97"/>
        <v>EMARegulatedOperating Income</v>
      </c>
      <c r="W55" s="10" t="str">
        <f t="shared" si="98"/>
        <v>EMAElectricRegulatedOperating Income</v>
      </c>
      <c r="Y55" s="10" t="s">
        <v>256</v>
      </c>
      <c r="Z55" s="28">
        <f>SUMIF(W:W, Y55, U:U)/SUMIF(V:V, C55&amp;G55&amp;H55, U:U)</f>
        <v>0.20824275455923277</v>
      </c>
      <c r="AB55" s="24" t="s">
        <v>204</v>
      </c>
      <c r="AC55" s="15">
        <f>IFERROR(SUMIFS(I:I,$C:$C,$C55, $G:$G, "Unregulated", $H:$H, "Operating Income")/SUMIFS(I:I,$C:$C,$C55, $H:$H, "Operating Income"), "n/a")</f>
        <v>-0.19190283400809716</v>
      </c>
      <c r="AD55" s="15">
        <f>IFERROR(SUMIFS(J:J,$C:$C,$C55, $G:$G, "Unregulated", $H:$H, "Operating Income")/SUMIFS(J:J,$C:$C,$C55, $H:$H, "Operating Income"), "n/a")</f>
        <v>8.9935064935064937E-2</v>
      </c>
      <c r="AE55" s="15">
        <f>IFERROR(SUMIFS(K:K,$C:$C,$C55, $G:$G, "Unregulated", $H:$H, "Operating Income")/SUMIFS(K:K,$C:$C,$C55, $H:$H, "Operating Income"), "n/a")</f>
        <v>0.10390541024722322</v>
      </c>
      <c r="AF55" s="19">
        <f>IFERROR(AVERAGE(AC55:AE55), "n/a")</f>
        <v>6.458803913969996E-4</v>
      </c>
      <c r="AG55" s="24" t="str">
        <f>C55&amp;AB55</f>
        <v>EMAUnregulatedOperating Income</v>
      </c>
    </row>
    <row r="56" spans="2:33" x14ac:dyDescent="0.35">
      <c r="C56" s="7" t="s">
        <v>152</v>
      </c>
      <c r="E56" s="16" t="s">
        <v>222</v>
      </c>
      <c r="F56" s="16" t="s">
        <v>164</v>
      </c>
      <c r="G56" s="16" t="s">
        <v>163</v>
      </c>
      <c r="H56" t="s">
        <v>195</v>
      </c>
      <c r="I56" s="8">
        <f>259+89+151+182</f>
        <v>681</v>
      </c>
      <c r="J56" s="8">
        <f>214+129+64+126</f>
        <v>533</v>
      </c>
      <c r="K56" s="8">
        <f>221+81+70+118</f>
        <v>490</v>
      </c>
      <c r="L56" s="8"/>
      <c r="M56" s="15">
        <f t="shared" si="95"/>
        <v>0.2313179347826087</v>
      </c>
      <c r="N56" s="15">
        <f t="shared" si="95"/>
        <v>0.19015340706386016</v>
      </c>
      <c r="O56" s="15">
        <f t="shared" si="95"/>
        <v>0.19592163134746102</v>
      </c>
      <c r="P56" s="19">
        <f t="shared" si="99"/>
        <v>0.20579765773130995</v>
      </c>
      <c r="Q56" s="19"/>
      <c r="R56" s="15">
        <f t="shared" si="96"/>
        <v>0.27570850202429148</v>
      </c>
      <c r="S56" s="15">
        <f t="shared" si="96"/>
        <v>0.17305194805194804</v>
      </c>
      <c r="T56" s="15">
        <f t="shared" si="96"/>
        <v>0.17556431386599786</v>
      </c>
      <c r="U56" s="19">
        <f t="shared" si="100"/>
        <v>0.20810825464741245</v>
      </c>
      <c r="V56" s="10" t="str">
        <f t="shared" si="97"/>
        <v>EMARegulatedOperating Income</v>
      </c>
      <c r="W56" s="10" t="str">
        <f t="shared" si="98"/>
        <v>EMAGasRegulatedOperating Income</v>
      </c>
      <c r="AB56" s="24"/>
      <c r="AC56" s="15"/>
      <c r="AD56" s="15"/>
      <c r="AE56" s="15"/>
      <c r="AF56" s="19"/>
      <c r="AG56" s="24"/>
    </row>
    <row r="57" spans="2:33" x14ac:dyDescent="0.35">
      <c r="C57" s="7" t="s">
        <v>152</v>
      </c>
      <c r="E57" s="16" t="s">
        <v>223</v>
      </c>
      <c r="F57" s="16" t="s">
        <v>187</v>
      </c>
      <c r="G57" s="16" t="s">
        <v>192</v>
      </c>
      <c r="H57" t="s">
        <v>195</v>
      </c>
      <c r="I57" s="8">
        <f>48+1+22+69</f>
        <v>140</v>
      </c>
      <c r="J57" s="8">
        <f>37+23+0+68</f>
        <v>128</v>
      </c>
      <c r="K57" s="8">
        <f>-48+19+0+61</f>
        <v>32</v>
      </c>
      <c r="L57" s="8"/>
      <c r="M57" s="15" t="str">
        <f t="shared" si="95"/>
        <v>n/a</v>
      </c>
      <c r="N57" s="15" t="str">
        <f t="shared" si="95"/>
        <v>n/a</v>
      </c>
      <c r="O57" s="15" t="str">
        <f t="shared" si="95"/>
        <v>n/a</v>
      </c>
      <c r="P57" s="19" t="str">
        <f t="shared" si="99"/>
        <v>n/a</v>
      </c>
      <c r="Q57" s="19"/>
      <c r="R57" s="15">
        <f t="shared" si="96"/>
        <v>5.6680161943319839E-2</v>
      </c>
      <c r="S57" s="15">
        <f t="shared" si="96"/>
        <v>4.1558441558441558E-2</v>
      </c>
      <c r="T57" s="15">
        <f t="shared" si="96"/>
        <v>1.146542457900394E-2</v>
      </c>
      <c r="U57" s="19">
        <f t="shared" si="100"/>
        <v>3.6568009360255109E-2</v>
      </c>
      <c r="V57" s="10" t="str">
        <f t="shared" si="97"/>
        <v>EMAUnregulatedOperating Income</v>
      </c>
      <c r="W57" s="10" t="str">
        <f t="shared" si="98"/>
        <v>EMAElectricUnregulatedOperating Income</v>
      </c>
      <c r="AB57" s="24"/>
      <c r="AC57" s="15"/>
      <c r="AD57" s="15"/>
      <c r="AE57" s="15"/>
      <c r="AF57" s="19"/>
      <c r="AG57" s="24"/>
    </row>
    <row r="58" spans="2:33" x14ac:dyDescent="0.35">
      <c r="C58" s="7" t="s">
        <v>152</v>
      </c>
      <c r="E58" s="16" t="s">
        <v>161</v>
      </c>
      <c r="F58" s="16" t="s">
        <v>161</v>
      </c>
      <c r="G58" s="16" t="s">
        <v>192</v>
      </c>
      <c r="H58" t="s">
        <v>195</v>
      </c>
      <c r="I58" s="8">
        <f>(-686)+(-302)+367+7</f>
        <v>-614</v>
      </c>
      <c r="J58" s="8">
        <f>-147+332-44+8</f>
        <v>149</v>
      </c>
      <c r="K58" s="8">
        <f>-39+288+2+7</f>
        <v>258</v>
      </c>
      <c r="L58" s="8"/>
      <c r="M58" s="15" t="str">
        <f t="shared" si="95"/>
        <v>n/a</v>
      </c>
      <c r="N58" s="15" t="str">
        <f t="shared" si="95"/>
        <v>n/a</v>
      </c>
      <c r="O58" s="15" t="str">
        <f t="shared" si="95"/>
        <v>n/a</v>
      </c>
      <c r="P58" s="19" t="str">
        <f t="shared" si="99"/>
        <v>n/a</v>
      </c>
      <c r="Q58" s="19"/>
      <c r="R58" s="15">
        <f t="shared" si="96"/>
        <v>-0.248582995951417</v>
      </c>
      <c r="S58" s="15">
        <f t="shared" si="96"/>
        <v>4.8376623376623379E-2</v>
      </c>
      <c r="T58" s="15">
        <f t="shared" si="96"/>
        <v>9.2439985668219274E-2</v>
      </c>
      <c r="U58" s="19">
        <f t="shared" si="100"/>
        <v>-3.5922128968858116E-2</v>
      </c>
      <c r="V58" s="10" t="str">
        <f t="shared" si="97"/>
        <v>EMAUnregulatedOperating Income</v>
      </c>
      <c r="W58" s="10" t="str">
        <f t="shared" si="98"/>
        <v>EMAOtherUnregulatedOperating Income</v>
      </c>
      <c r="AB58" s="24"/>
      <c r="AC58" s="15"/>
      <c r="AD58" s="15"/>
      <c r="AE58" s="15"/>
      <c r="AF58" s="19"/>
      <c r="AG58" s="24"/>
    </row>
    <row r="59" spans="2:33" x14ac:dyDescent="0.35">
      <c r="C59" s="7" t="s">
        <v>152</v>
      </c>
      <c r="E59" s="16" t="s">
        <v>224</v>
      </c>
      <c r="F59" s="16" t="s">
        <v>161</v>
      </c>
      <c r="G59" s="16" t="s">
        <v>192</v>
      </c>
      <c r="H59" t="s">
        <v>195</v>
      </c>
      <c r="I59" s="8">
        <v>0</v>
      </c>
      <c r="J59" s="8">
        <v>0</v>
      </c>
      <c r="K59" s="8">
        <v>0</v>
      </c>
      <c r="L59" s="8"/>
      <c r="M59" s="15" t="str">
        <f t="shared" si="95"/>
        <v>n/a</v>
      </c>
      <c r="N59" s="15" t="str">
        <f t="shared" si="95"/>
        <v>n/a</v>
      </c>
      <c r="O59" s="15" t="str">
        <f t="shared" si="95"/>
        <v>n/a</v>
      </c>
      <c r="P59" s="19" t="str">
        <f t="shared" si="99"/>
        <v>n/a</v>
      </c>
      <c r="Q59" s="19"/>
      <c r="R59" s="15">
        <f t="shared" si="96"/>
        <v>0</v>
      </c>
      <c r="S59" s="15">
        <f t="shared" si="96"/>
        <v>0</v>
      </c>
      <c r="T59" s="15">
        <f t="shared" si="96"/>
        <v>0</v>
      </c>
      <c r="U59" s="19">
        <f t="shared" si="100"/>
        <v>0</v>
      </c>
      <c r="V59" s="10" t="str">
        <f t="shared" si="97"/>
        <v>EMAUnregulatedOperating Income</v>
      </c>
      <c r="W59" s="10" t="str">
        <f t="shared" si="98"/>
        <v>EMAOtherUnregulatedOperating Income</v>
      </c>
      <c r="AB59" s="24"/>
      <c r="AC59" s="15"/>
      <c r="AD59" s="15"/>
      <c r="AE59" s="15"/>
      <c r="AF59" s="19"/>
      <c r="AG59" s="24"/>
    </row>
    <row r="60" spans="2:33" x14ac:dyDescent="0.35">
      <c r="E60" s="16"/>
      <c r="F60" s="16"/>
      <c r="G60" s="16"/>
      <c r="I60" s="8"/>
      <c r="J60" s="8"/>
      <c r="K60" s="8"/>
      <c r="L60" s="8"/>
      <c r="M60" s="15"/>
      <c r="N60" s="15"/>
      <c r="O60" s="15"/>
      <c r="P60" s="19"/>
      <c r="Q60" s="19"/>
      <c r="R60" s="15"/>
      <c r="S60" s="15"/>
      <c r="T60" s="15"/>
      <c r="U60" s="19"/>
      <c r="AB60" s="24"/>
      <c r="AC60" s="15"/>
      <c r="AD60" s="15"/>
      <c r="AE60" s="15"/>
      <c r="AF60" s="19"/>
      <c r="AG60" s="24"/>
    </row>
    <row r="61" spans="2:33" s="5" customFormat="1" x14ac:dyDescent="0.35">
      <c r="B61" s="5" t="s">
        <v>153</v>
      </c>
      <c r="C61" s="9"/>
      <c r="E61" s="5" t="s">
        <v>194</v>
      </c>
      <c r="F61" s="5" t="s">
        <v>198</v>
      </c>
      <c r="G61" s="5" t="s">
        <v>191</v>
      </c>
      <c r="H61" s="5" t="s">
        <v>193</v>
      </c>
      <c r="I61" s="9">
        <v>2024</v>
      </c>
      <c r="J61" s="9">
        <v>2023</v>
      </c>
      <c r="K61" s="9">
        <v>2022</v>
      </c>
      <c r="L61" s="9"/>
      <c r="M61" s="25">
        <f>I61</f>
        <v>2024</v>
      </c>
      <c r="N61" s="25">
        <f t="shared" ref="N61" si="101">J61</f>
        <v>2023</v>
      </c>
      <c r="O61" s="25">
        <f t="shared" ref="O61" si="102">K61</f>
        <v>2022</v>
      </c>
      <c r="P61" s="26" t="s">
        <v>197</v>
      </c>
      <c r="Q61" s="26"/>
      <c r="R61" s="25">
        <f>M61</f>
        <v>2024</v>
      </c>
      <c r="S61" s="25">
        <f t="shared" ref="S61" si="103">N61</f>
        <v>2023</v>
      </c>
      <c r="T61" s="25">
        <f t="shared" ref="T61" si="104">O61</f>
        <v>2022</v>
      </c>
      <c r="U61" s="26" t="s">
        <v>197</v>
      </c>
      <c r="V61" s="12"/>
      <c r="W61" s="12"/>
      <c r="X61" s="12"/>
      <c r="Y61" s="12"/>
      <c r="Z61" s="25" t="s">
        <v>248</v>
      </c>
      <c r="AB61" s="27"/>
      <c r="AC61" s="25">
        <f>R61</f>
        <v>2024</v>
      </c>
      <c r="AD61" s="25">
        <f t="shared" ref="AD61" si="105">S61</f>
        <v>2023</v>
      </c>
      <c r="AE61" s="25">
        <f t="shared" ref="AE61" si="106">T61</f>
        <v>2022</v>
      </c>
      <c r="AF61" s="26" t="s">
        <v>197</v>
      </c>
      <c r="AG61" s="27"/>
    </row>
    <row r="62" spans="2:33" x14ac:dyDescent="0.35">
      <c r="B62" t="s">
        <v>225</v>
      </c>
      <c r="C62" s="7" t="s">
        <v>154</v>
      </c>
      <c r="E62" s="16" t="s">
        <v>230</v>
      </c>
      <c r="F62" s="16" t="s">
        <v>162</v>
      </c>
      <c r="G62" s="16" t="s">
        <v>163</v>
      </c>
      <c r="H62" t="s">
        <v>186</v>
      </c>
      <c r="I62" s="8">
        <v>38183</v>
      </c>
      <c r="J62" s="8">
        <v>29882</v>
      </c>
      <c r="K62" s="8">
        <v>37174</v>
      </c>
      <c r="L62" s="8"/>
      <c r="M62" s="15">
        <f t="shared" ref="M62:O66" si="107">IFERROR(IF($G62="Regulated", I62/SUMIFS(I:I,$C:$C,$C62,$G:$G,"Regulated", $H:$H, $H62), "n/a"), "n/a")</f>
        <v>0.73536322317232883</v>
      </c>
      <c r="N62" s="15">
        <f t="shared" si="107"/>
        <v>0.71638856923667049</v>
      </c>
      <c r="O62" s="15">
        <f t="shared" si="107"/>
        <v>0.75359322102617121</v>
      </c>
      <c r="P62" s="19">
        <f>IFERROR(AVERAGE(M62:O62), "n/a")</f>
        <v>0.73511500447839018</v>
      </c>
      <c r="Q62" s="19"/>
      <c r="R62" s="15">
        <f t="shared" ref="R62:T66" si="108">IFERROR(I62/SUMIFS(I:I,$C:$C,$C62, $H:$H, $H62), "n/a")</f>
        <v>0.7140613019654779</v>
      </c>
      <c r="S62" s="15">
        <f t="shared" si="108"/>
        <v>0.68459758528259529</v>
      </c>
      <c r="T62" s="15">
        <f t="shared" si="108"/>
        <v>0.69733065711230746</v>
      </c>
      <c r="U62" s="19">
        <f>IFERROR(AVERAGE(R62:T62), "n/a")</f>
        <v>0.69866318145346018</v>
      </c>
      <c r="V62" s="10" t="str">
        <f t="shared" ref="V62:V66" si="109">C62&amp;G62&amp;H62</f>
        <v>ENBRegulatedRevenue</v>
      </c>
      <c r="W62" s="10" t="str">
        <f t="shared" ref="W62:W66" si="110">C62&amp;F62&amp;G62&amp;H62</f>
        <v>ENBOilRegulatedRevenue</v>
      </c>
      <c r="Y62" s="10" t="s">
        <v>257</v>
      </c>
      <c r="Z62" s="28">
        <f>SUMIF(W:W, Y62, U:U)/SUMIF(V:V, C62&amp;G62&amp;H62, U:U)</f>
        <v>0.73492014493474911</v>
      </c>
      <c r="AB62" s="24" t="s">
        <v>201</v>
      </c>
      <c r="AC62" s="15">
        <f>IFERROR(SUMIFS(I:I,$C:$C,$C62, $G:$G, "Regulated", $H:$H, "Revenue")/SUMIFS(I:I,$C:$C,$C62, $H:$H, "Revenue"), "n/a")</f>
        <v>0.9710321096628205</v>
      </c>
      <c r="AD62" s="15">
        <f>IFERROR(SUMIFS(J:J,$C:$C,$C62, $G:$G, "Regulated", $H:$H, "Revenue")/SUMIFS(J:J,$C:$C,$C62, $H:$H, "Revenue"), "n/a")</f>
        <v>0.9556232674288071</v>
      </c>
      <c r="AE62" s="15">
        <f>IFERROR(SUMIFS(K:K,$C:$C,$C62, $G:$G, "Regulated", $H:$H, "Revenue")/SUMIFS(K:K,$C:$C,$C62, $H:$H, "Revenue"), "n/a")</f>
        <v>0.92534093680241614</v>
      </c>
      <c r="AF62" s="19">
        <f>IFERROR(AVERAGE(AC62:AE62), "n/a")</f>
        <v>0.95066543796468128</v>
      </c>
      <c r="AG62" s="24" t="str">
        <f>C62&amp;AB62</f>
        <v>ENBRegulatedRevenue</v>
      </c>
    </row>
    <row r="63" spans="2:33" x14ac:dyDescent="0.35">
      <c r="B63" t="s">
        <v>227</v>
      </c>
      <c r="C63" s="7" t="s">
        <v>154</v>
      </c>
      <c r="E63" s="16" t="s">
        <v>231</v>
      </c>
      <c r="F63" s="16" t="s">
        <v>164</v>
      </c>
      <c r="G63" s="16" t="s">
        <v>163</v>
      </c>
      <c r="H63" t="s">
        <v>186</v>
      </c>
      <c r="I63" s="8">
        <v>6199</v>
      </c>
      <c r="J63" s="8">
        <v>5854</v>
      </c>
      <c r="K63" s="8">
        <v>5426</v>
      </c>
      <c r="L63" s="8"/>
      <c r="M63" s="15">
        <f t="shared" si="107"/>
        <v>0.11938602572991296</v>
      </c>
      <c r="N63" s="15">
        <f t="shared" si="107"/>
        <v>0.14034330648254698</v>
      </c>
      <c r="O63" s="15">
        <f t="shared" si="107"/>
        <v>0.10999614831032456</v>
      </c>
      <c r="P63" s="19">
        <f t="shared" ref="P63:P66" si="111">IFERROR(AVERAGE(M63:O63), "n/a")</f>
        <v>0.12324182684092816</v>
      </c>
      <c r="Q63" s="19"/>
      <c r="R63" s="15">
        <f t="shared" si="108"/>
        <v>0.11592766442877714</v>
      </c>
      <c r="S63" s="15">
        <f t="shared" si="108"/>
        <v>0.13411532910261403</v>
      </c>
      <c r="T63" s="15">
        <f t="shared" si="108"/>
        <v>0.10178393892213322</v>
      </c>
      <c r="U63" s="19">
        <f t="shared" ref="U63:U66" si="112">IFERROR(AVERAGE(R63:T63), "n/a")</f>
        <v>0.11727564415117479</v>
      </c>
      <c r="V63" s="10" t="str">
        <f t="shared" si="109"/>
        <v>ENBRegulatedRevenue</v>
      </c>
      <c r="W63" s="10" t="str">
        <f t="shared" si="110"/>
        <v>ENBGasRegulatedRevenue</v>
      </c>
      <c r="Y63" s="10" t="s">
        <v>258</v>
      </c>
      <c r="Z63" s="28">
        <f>SUMIF(W:W, Y63, U:U)/SUMIF(V:V, C63&amp;G63&amp;H63, U:U)</f>
        <v>0.26507985506525095</v>
      </c>
      <c r="AB63" s="24" t="s">
        <v>202</v>
      </c>
      <c r="AC63" s="15">
        <f>IFERROR(SUMIFS(I:I,$C:$C,$C63, $G:$G, "Unregulated", $H:$H, "Revenue")/SUMIFS(I:I,$C:$C,$C63, $H:$H, "Revenue"), "n/a")</f>
        <v>2.896789033717951E-2</v>
      </c>
      <c r="AD63" s="15">
        <f>IFERROR(SUMIFS(J:J,$C:$C,$C63, $G:$G, "Unregulated", $H:$H, "Revenue")/SUMIFS(J:J,$C:$C,$C63, $H:$H, "Revenue"), "n/a")</f>
        <v>4.4376732571192928E-2</v>
      </c>
      <c r="AE63" s="15">
        <f>IFERROR(SUMIFS(K:K,$C:$C,$C63, $G:$G, "Unregulated", $H:$H, "Revenue")/SUMIFS(K:K,$C:$C,$C63, $H:$H, "Revenue"), "n/a")</f>
        <v>7.4659063197583891E-2</v>
      </c>
      <c r="AF63" s="19">
        <f>IFERROR(AVERAGE(AC63:AE63), "n/a")</f>
        <v>4.9334562035318774E-2</v>
      </c>
      <c r="AG63" s="24" t="str">
        <f>C63&amp;AB63</f>
        <v>ENBUnregulatedRevenue</v>
      </c>
    </row>
    <row r="64" spans="2:33" x14ac:dyDescent="0.35">
      <c r="C64" s="7" t="s">
        <v>154</v>
      </c>
      <c r="E64" s="16" t="s">
        <v>232</v>
      </c>
      <c r="F64" s="16" t="s">
        <v>164</v>
      </c>
      <c r="G64" s="16" t="s">
        <v>163</v>
      </c>
      <c r="H64" t="s">
        <v>186</v>
      </c>
      <c r="I64" s="8">
        <v>7542</v>
      </c>
      <c r="J64" s="8">
        <v>5976</v>
      </c>
      <c r="K64" s="8">
        <v>6729</v>
      </c>
      <c r="L64" s="8"/>
      <c r="M64" s="15">
        <f t="shared" si="107"/>
        <v>0.14525075109775826</v>
      </c>
      <c r="N64" s="15">
        <f t="shared" si="107"/>
        <v>0.14326812428078251</v>
      </c>
      <c r="O64" s="15">
        <f t="shared" si="107"/>
        <v>0.13641063066350423</v>
      </c>
      <c r="P64" s="19">
        <f t="shared" si="111"/>
        <v>0.14164316868068166</v>
      </c>
      <c r="Q64" s="19"/>
      <c r="R64" s="15">
        <f t="shared" si="108"/>
        <v>0.14104314326856546</v>
      </c>
      <c r="S64" s="15">
        <f t="shared" si="108"/>
        <v>0.1369103530435978</v>
      </c>
      <c r="T64" s="15">
        <f t="shared" si="108"/>
        <v>0.1262263407679754</v>
      </c>
      <c r="U64" s="19">
        <f t="shared" si="112"/>
        <v>0.13472661236004621</v>
      </c>
      <c r="V64" s="10" t="str">
        <f t="shared" si="109"/>
        <v>ENBRegulatedRevenue</v>
      </c>
      <c r="W64" s="10" t="str">
        <f t="shared" si="110"/>
        <v>ENBGasRegulatedRevenue</v>
      </c>
      <c r="Y64" s="10" t="s">
        <v>259</v>
      </c>
      <c r="Z64" s="28">
        <f>SUMIF(W:W, Y64, U:U)/SUMIF(V:V, C64&amp;G64&amp;H64, U:U)</f>
        <v>0</v>
      </c>
      <c r="AB64" s="24"/>
      <c r="AC64" s="15"/>
      <c r="AD64" s="15"/>
      <c r="AE64" s="15"/>
      <c r="AF64" s="19"/>
      <c r="AG64" s="24"/>
    </row>
    <row r="65" spans="2:33" x14ac:dyDescent="0.35">
      <c r="C65" s="7" t="s">
        <v>154</v>
      </c>
      <c r="E65" s="16" t="s">
        <v>233</v>
      </c>
      <c r="F65" s="16" t="s">
        <v>187</v>
      </c>
      <c r="G65" s="16" t="s">
        <v>192</v>
      </c>
      <c r="H65" t="s">
        <v>186</v>
      </c>
      <c r="I65" s="8">
        <v>514</v>
      </c>
      <c r="J65" s="8">
        <v>477</v>
      </c>
      <c r="K65" s="8">
        <v>582</v>
      </c>
      <c r="L65" s="8"/>
      <c r="M65" s="15" t="str">
        <f t="shared" si="107"/>
        <v>n/a</v>
      </c>
      <c r="N65" s="15" t="str">
        <f t="shared" si="107"/>
        <v>n/a</v>
      </c>
      <c r="O65" s="15" t="str">
        <f t="shared" si="107"/>
        <v>n/a</v>
      </c>
      <c r="P65" s="19" t="str">
        <f t="shared" si="111"/>
        <v>n/a</v>
      </c>
      <c r="Q65" s="19"/>
      <c r="R65" s="15">
        <f t="shared" si="108"/>
        <v>9.6123277167916524E-3</v>
      </c>
      <c r="S65" s="15">
        <f t="shared" si="108"/>
        <v>1.0928085408600427E-2</v>
      </c>
      <c r="T65" s="15">
        <f t="shared" si="108"/>
        <v>1.0917481100752219E-2</v>
      </c>
      <c r="U65" s="19">
        <f t="shared" si="112"/>
        <v>1.0485964742048099E-2</v>
      </c>
      <c r="V65" s="10" t="str">
        <f t="shared" si="109"/>
        <v>ENBUnregulatedRevenue</v>
      </c>
      <c r="W65" s="10" t="str">
        <f t="shared" si="110"/>
        <v>ENBElectricUnregulatedRevenue</v>
      </c>
      <c r="AB65" s="24"/>
      <c r="AC65" s="15"/>
      <c r="AD65" s="15"/>
      <c r="AE65" s="15"/>
      <c r="AF65" s="19"/>
      <c r="AG65" s="24"/>
    </row>
    <row r="66" spans="2:33" x14ac:dyDescent="0.35">
      <c r="C66" s="7" t="s">
        <v>154</v>
      </c>
      <c r="E66" s="16" t="s">
        <v>234</v>
      </c>
      <c r="F66" s="16" t="s">
        <v>161</v>
      </c>
      <c r="G66" s="16" t="s">
        <v>192</v>
      </c>
      <c r="H66" t="s">
        <v>186</v>
      </c>
      <c r="I66" s="8">
        <v>1035</v>
      </c>
      <c r="J66" s="8">
        <v>1460</v>
      </c>
      <c r="K66" s="8">
        <v>3398</v>
      </c>
      <c r="L66" s="8"/>
      <c r="M66" s="15" t="str">
        <f t="shared" si="107"/>
        <v>n/a</v>
      </c>
      <c r="N66" s="15" t="str">
        <f t="shared" si="107"/>
        <v>n/a</v>
      </c>
      <c r="O66" s="15" t="str">
        <f t="shared" si="107"/>
        <v>n/a</v>
      </c>
      <c r="P66" s="19" t="str">
        <f t="shared" si="111"/>
        <v>n/a</v>
      </c>
      <c r="Q66" s="19"/>
      <c r="R66" s="15">
        <f t="shared" si="108"/>
        <v>1.9355562620387859E-2</v>
      </c>
      <c r="S66" s="15">
        <f t="shared" si="108"/>
        <v>3.34486471625925E-2</v>
      </c>
      <c r="T66" s="15">
        <f t="shared" si="108"/>
        <v>6.3741582096831673E-2</v>
      </c>
      <c r="U66" s="19">
        <f t="shared" si="112"/>
        <v>3.8848597293270677E-2</v>
      </c>
      <c r="V66" s="10" t="str">
        <f t="shared" si="109"/>
        <v>ENBUnregulatedRevenue</v>
      </c>
      <c r="W66" s="10" t="str">
        <f t="shared" si="110"/>
        <v>ENBOtherUnregulatedRevenue</v>
      </c>
      <c r="AB66" s="24"/>
      <c r="AC66" s="15"/>
      <c r="AD66" s="15"/>
      <c r="AE66" s="15"/>
      <c r="AF66" s="19"/>
      <c r="AG66" s="24"/>
    </row>
    <row r="67" spans="2:33" x14ac:dyDescent="0.35">
      <c r="M67" s="15"/>
      <c r="N67" s="15"/>
      <c r="O67" s="15"/>
      <c r="P67" s="19"/>
      <c r="Q67" s="19"/>
      <c r="R67" s="15"/>
      <c r="S67" s="15"/>
      <c r="T67" s="15"/>
      <c r="U67" s="19"/>
      <c r="AB67" s="24"/>
      <c r="AC67" s="15"/>
      <c r="AD67" s="15"/>
      <c r="AE67" s="15"/>
      <c r="AF67" s="19"/>
      <c r="AG67" s="24"/>
    </row>
    <row r="68" spans="2:33" x14ac:dyDescent="0.35">
      <c r="E68" s="5" t="s">
        <v>194</v>
      </c>
      <c r="F68" s="5" t="s">
        <v>198</v>
      </c>
      <c r="G68" s="5" t="s">
        <v>191</v>
      </c>
      <c r="H68" s="5" t="s">
        <v>193</v>
      </c>
      <c r="I68" s="9">
        <v>2024</v>
      </c>
      <c r="J68" s="9">
        <v>2023</v>
      </c>
      <c r="K68" s="9">
        <v>2022</v>
      </c>
      <c r="L68" s="9"/>
      <c r="M68" s="14">
        <f>I68</f>
        <v>2024</v>
      </c>
      <c r="N68" s="14">
        <f t="shared" ref="N68" si="113">J68</f>
        <v>2023</v>
      </c>
      <c r="O68" s="14">
        <f t="shared" ref="O68" si="114">K68</f>
        <v>2022</v>
      </c>
      <c r="P68" s="18" t="s">
        <v>197</v>
      </c>
      <c r="Q68" s="18"/>
      <c r="R68" s="14">
        <f>M68</f>
        <v>2024</v>
      </c>
      <c r="S68" s="14">
        <f t="shared" ref="S68" si="115">N68</f>
        <v>2023</v>
      </c>
      <c r="T68" s="14">
        <f t="shared" ref="T68" si="116">O68</f>
        <v>2022</v>
      </c>
      <c r="U68" s="18" t="s">
        <v>197</v>
      </c>
      <c r="Y68" s="12"/>
      <c r="Z68" s="25" t="s">
        <v>248</v>
      </c>
      <c r="AC68" s="14">
        <f>R68</f>
        <v>2024</v>
      </c>
      <c r="AD68" s="14">
        <f t="shared" ref="AD68" si="117">S68</f>
        <v>2023</v>
      </c>
      <c r="AE68" s="14">
        <f t="shared" ref="AE68" si="118">T68</f>
        <v>2022</v>
      </c>
      <c r="AF68" s="18" t="s">
        <v>197</v>
      </c>
    </row>
    <row r="69" spans="2:33" x14ac:dyDescent="0.35">
      <c r="C69" s="7" t="s">
        <v>154</v>
      </c>
      <c r="E69" s="16" t="s">
        <v>230</v>
      </c>
      <c r="F69" s="16" t="s">
        <v>162</v>
      </c>
      <c r="G69" s="16" t="s">
        <v>163</v>
      </c>
      <c r="H69" t="s">
        <v>195</v>
      </c>
      <c r="I69" s="8">
        <v>9531</v>
      </c>
      <c r="J69" s="8">
        <v>9383</v>
      </c>
      <c r="K69" s="8">
        <v>7941</v>
      </c>
      <c r="L69" s="8"/>
      <c r="M69" s="15">
        <f t="shared" ref="M69:O73" si="119">IFERROR(IF($G69="Regulated", I69/SUMIFS(I:I,$C:$C,$C69,$G:$G,"Regulated", $H:$H, $H69), "n/a"), "n/a")</f>
        <v>0.5278577758085955</v>
      </c>
      <c r="N69" s="15">
        <f t="shared" si="119"/>
        <v>0.61572281645777283</v>
      </c>
      <c r="O69" s="15">
        <f t="shared" si="119"/>
        <v>0.61586784550953932</v>
      </c>
      <c r="P69" s="19">
        <f>IFERROR(AVERAGE(M69:O69), "n/a")</f>
        <v>0.58648281259196933</v>
      </c>
      <c r="Q69" s="19"/>
      <c r="R69" s="15">
        <f t="shared" ref="R69:T73" si="120">IFERROR(I69/SUMIFS(I:I,$C:$C,$C69, $H:$H, $H69), "n/a")</f>
        <v>0.56446550192478528</v>
      </c>
      <c r="S69" s="15">
        <f t="shared" si="120"/>
        <v>0.57550294406280667</v>
      </c>
      <c r="T69" s="15">
        <f t="shared" si="120"/>
        <v>0.65966107326798473</v>
      </c>
      <c r="U69" s="19">
        <f>IFERROR(AVERAGE(R69:T69), "n/a")</f>
        <v>0.59987650641852552</v>
      </c>
      <c r="V69" s="10" t="str">
        <f t="shared" ref="V69:V73" si="121">C69&amp;G69&amp;H69</f>
        <v>ENBRegulatedOperating Income</v>
      </c>
      <c r="W69" s="10" t="str">
        <f t="shared" ref="W69:W73" si="122">C69&amp;F69&amp;G69&amp;H69</f>
        <v>ENBOilRegulatedOperating Income</v>
      </c>
      <c r="Y69" s="10" t="s">
        <v>260</v>
      </c>
      <c r="Z69" s="28">
        <f>SUMIF(W:W, Y69, U:U)/SUMIF(V:V, C69&amp;G69&amp;H69, U:U)</f>
        <v>0.58521905926062268</v>
      </c>
      <c r="AB69" s="24" t="s">
        <v>203</v>
      </c>
      <c r="AC69" s="15">
        <f>IFERROR(SUMIFS(I:I,$C:$C,$C69, $G:$G, "Regulated", $H:$H, "Operating Income")/SUMIFS(I:I,$C:$C,$C69, $H:$H, "Operating Income"), "n/a")</f>
        <v>1.0693514954101273</v>
      </c>
      <c r="AD69" s="15">
        <f>IFERROR(SUMIFS(J:J,$C:$C,$C69, $G:$G, "Regulated", $H:$H, "Operating Income")/SUMIFS(J:J,$C:$C,$C69, $H:$H, "Operating Income"), "n/a")</f>
        <v>0.93467860647693812</v>
      </c>
      <c r="AE69" s="15">
        <f>IFERROR(SUMIFS(K:K,$C:$C,$C69, $G:$G, "Regulated", $H:$H, "Operating Income")/SUMIFS(K:K,$C:$C,$C69, $H:$H, "Operating Income"), "n/a")</f>
        <v>1.071108157501246</v>
      </c>
      <c r="AF69" s="19">
        <f>IFERROR(AVERAGE(AC69:AE69), "n/a")</f>
        <v>1.0250460864627704</v>
      </c>
      <c r="AG69" s="24" t="str">
        <f>C69&amp;AB69</f>
        <v>ENBRegulatedOperating Income</v>
      </c>
    </row>
    <row r="70" spans="2:33" x14ac:dyDescent="0.35">
      <c r="C70" s="7" t="s">
        <v>154</v>
      </c>
      <c r="E70" s="16" t="s">
        <v>231</v>
      </c>
      <c r="F70" s="16" t="s">
        <v>164</v>
      </c>
      <c r="G70" s="16" t="s">
        <v>163</v>
      </c>
      <c r="H70" t="s">
        <v>195</v>
      </c>
      <c r="I70" s="8">
        <v>5656</v>
      </c>
      <c r="J70" s="8">
        <v>4264</v>
      </c>
      <c r="K70" s="8">
        <v>3126</v>
      </c>
      <c r="L70" s="8"/>
      <c r="M70" s="15">
        <f t="shared" si="119"/>
        <v>0.31324767390341163</v>
      </c>
      <c r="N70" s="15">
        <f t="shared" si="119"/>
        <v>0.27980838637705885</v>
      </c>
      <c r="O70" s="15">
        <f t="shared" si="119"/>
        <v>0.2424383434155421</v>
      </c>
      <c r="P70" s="19">
        <f t="shared" ref="P70:P73" si="123">IFERROR(AVERAGE(M70:O70), "n/a")</f>
        <v>0.27849813456533751</v>
      </c>
      <c r="Q70" s="19"/>
      <c r="R70" s="15">
        <f t="shared" si="120"/>
        <v>0.33497186852235711</v>
      </c>
      <c r="S70" s="15">
        <f t="shared" si="120"/>
        <v>0.26153091265947009</v>
      </c>
      <c r="T70" s="15">
        <f t="shared" si="120"/>
        <v>0.25967768732347568</v>
      </c>
      <c r="U70" s="19">
        <f t="shared" ref="U70:U73" si="124">IFERROR(AVERAGE(R70:T70), "n/a")</f>
        <v>0.28539348950176763</v>
      </c>
      <c r="V70" s="10" t="str">
        <f t="shared" si="121"/>
        <v>ENBRegulatedOperating Income</v>
      </c>
      <c r="W70" s="10" t="str">
        <f t="shared" si="122"/>
        <v>ENBGasRegulatedOperating Income</v>
      </c>
      <c r="Y70" s="10" t="s">
        <v>261</v>
      </c>
      <c r="Z70" s="28">
        <f>SUMIF(W:W, Y70, U:U)/SUMIF(V:V, C70&amp;G70&amp;H70, U:U)</f>
        <v>0.41478094073937721</v>
      </c>
      <c r="AB70" s="24" t="s">
        <v>204</v>
      </c>
      <c r="AC70" s="15">
        <f>IFERROR(SUMIFS(I:I,$C:$C,$C70, $G:$G, "Unregulated", $H:$H, "Operating Income")/SUMIFS(I:I,$C:$C,$C70, $H:$H, "Operating Income"), "n/a")</f>
        <v>-6.9351495410127334E-2</v>
      </c>
      <c r="AD70" s="15">
        <f>IFERROR(SUMIFS(J:J,$C:$C,$C70, $G:$G, "Unregulated", $H:$H, "Operating Income")/SUMIFS(J:J,$C:$C,$C70, $H:$H, "Operating Income"), "n/a")</f>
        <v>6.5321393523061821E-2</v>
      </c>
      <c r="AE70" s="15">
        <f>IFERROR(SUMIFS(K:K,$C:$C,$C70, $G:$G, "Unregulated", $H:$H, "Operating Income")/SUMIFS(K:K,$C:$C,$C70, $H:$H, "Operating Income"), "n/a")</f>
        <v>-7.110815750124605E-2</v>
      </c>
      <c r="AF70" s="19">
        <f>IFERROR(AVERAGE(AC70:AE70), "n/a")</f>
        <v>-2.5046086462770522E-2</v>
      </c>
      <c r="AG70" s="24" t="str">
        <f>C70&amp;AB70</f>
        <v>ENBUnregulatedOperating Income</v>
      </c>
    </row>
    <row r="71" spans="2:33" x14ac:dyDescent="0.35">
      <c r="C71" s="7" t="s">
        <v>154</v>
      </c>
      <c r="E71" s="16" t="s">
        <v>232</v>
      </c>
      <c r="F71" s="16" t="s">
        <v>164</v>
      </c>
      <c r="G71" s="16" t="s">
        <v>163</v>
      </c>
      <c r="H71" t="s">
        <v>195</v>
      </c>
      <c r="I71" s="8">
        <v>2869</v>
      </c>
      <c r="J71" s="8">
        <v>1592</v>
      </c>
      <c r="K71" s="8">
        <v>1827</v>
      </c>
      <c r="L71" s="8"/>
      <c r="M71" s="15">
        <f t="shared" si="119"/>
        <v>0.1588945502879929</v>
      </c>
      <c r="N71" s="15">
        <f t="shared" si="119"/>
        <v>0.10446879716516831</v>
      </c>
      <c r="O71" s="15">
        <f t="shared" si="119"/>
        <v>0.14169381107491857</v>
      </c>
      <c r="P71" s="19">
        <f t="shared" si="123"/>
        <v>0.13501905284269325</v>
      </c>
      <c r="Q71" s="19"/>
      <c r="R71" s="15">
        <f t="shared" si="120"/>
        <v>0.16991412496298489</v>
      </c>
      <c r="S71" s="15">
        <f t="shared" si="120"/>
        <v>9.7644749754661433E-2</v>
      </c>
      <c r="T71" s="15">
        <f t="shared" si="120"/>
        <v>0.15176939690978569</v>
      </c>
      <c r="U71" s="19">
        <f t="shared" si="124"/>
        <v>0.13977609054247733</v>
      </c>
      <c r="V71" s="10" t="str">
        <f t="shared" si="121"/>
        <v>ENBRegulatedOperating Income</v>
      </c>
      <c r="W71" s="10" t="str">
        <f t="shared" si="122"/>
        <v>ENBGasRegulatedOperating Income</v>
      </c>
      <c r="Y71" s="10" t="s">
        <v>262</v>
      </c>
      <c r="Z71" s="28">
        <f>SUMIF(W:W, Y71, U:U)/SUMIF(V:V, C71&amp;G71&amp;H71, U:U)</f>
        <v>0</v>
      </c>
      <c r="AB71" s="24"/>
      <c r="AC71" s="15"/>
      <c r="AD71" s="15"/>
      <c r="AE71" s="15"/>
      <c r="AF71" s="19"/>
      <c r="AG71" s="24"/>
    </row>
    <row r="72" spans="2:33" x14ac:dyDescent="0.35">
      <c r="C72" s="7" t="s">
        <v>154</v>
      </c>
      <c r="E72" s="16" t="s">
        <v>233</v>
      </c>
      <c r="F72" s="16" t="s">
        <v>187</v>
      </c>
      <c r="G72" s="16" t="s">
        <v>192</v>
      </c>
      <c r="H72" t="s">
        <v>195</v>
      </c>
      <c r="I72" s="8">
        <v>733</v>
      </c>
      <c r="J72" s="8">
        <v>149</v>
      </c>
      <c r="K72" s="8">
        <v>262</v>
      </c>
      <c r="L72" s="8"/>
      <c r="M72" s="15" t="str">
        <f t="shared" si="119"/>
        <v>n/a</v>
      </c>
      <c r="N72" s="15" t="str">
        <f t="shared" si="119"/>
        <v>n/a</v>
      </c>
      <c r="O72" s="15" t="str">
        <f t="shared" si="119"/>
        <v>n/a</v>
      </c>
      <c r="P72" s="19" t="str">
        <f t="shared" si="123"/>
        <v>n/a</v>
      </c>
      <c r="Q72" s="19"/>
      <c r="R72" s="15">
        <f t="shared" si="120"/>
        <v>4.3411311815220607E-2</v>
      </c>
      <c r="S72" s="15">
        <f t="shared" si="120"/>
        <v>9.138861629048086E-3</v>
      </c>
      <c r="T72" s="15">
        <f t="shared" si="120"/>
        <v>2.1764412693138394E-2</v>
      </c>
      <c r="U72" s="19">
        <f t="shared" si="124"/>
        <v>2.4771528712469029E-2</v>
      </c>
      <c r="V72" s="10" t="str">
        <f t="shared" si="121"/>
        <v>ENBUnregulatedOperating Income</v>
      </c>
      <c r="W72" s="10" t="str">
        <f t="shared" si="122"/>
        <v>ENBElectricUnregulatedOperating Income</v>
      </c>
      <c r="AB72" s="24"/>
      <c r="AC72" s="15"/>
      <c r="AD72" s="15"/>
      <c r="AE72" s="15"/>
      <c r="AF72" s="19"/>
      <c r="AG72" s="24"/>
    </row>
    <row r="73" spans="2:33" x14ac:dyDescent="0.35">
      <c r="C73" s="7" t="s">
        <v>154</v>
      </c>
      <c r="E73" s="16" t="s">
        <v>234</v>
      </c>
      <c r="F73" s="16" t="s">
        <v>161</v>
      </c>
      <c r="G73" s="16" t="s">
        <v>192</v>
      </c>
      <c r="H73" t="s">
        <v>195</v>
      </c>
      <c r="I73" s="8">
        <v>-1904</v>
      </c>
      <c r="J73" s="8">
        <v>916</v>
      </c>
      <c r="K73" s="8">
        <v>-1118</v>
      </c>
      <c r="L73" s="8"/>
      <c r="M73" s="15" t="str">
        <f t="shared" si="119"/>
        <v>n/a</v>
      </c>
      <c r="N73" s="15" t="str">
        <f t="shared" si="119"/>
        <v>n/a</v>
      </c>
      <c r="O73" s="15" t="str">
        <f t="shared" si="119"/>
        <v>n/a</v>
      </c>
      <c r="P73" s="19" t="str">
        <f t="shared" si="123"/>
        <v>n/a</v>
      </c>
      <c r="Q73" s="19"/>
      <c r="R73" s="15">
        <f t="shared" si="120"/>
        <v>-0.11276280722534794</v>
      </c>
      <c r="S73" s="15">
        <f t="shared" si="120"/>
        <v>5.6182531894013739E-2</v>
      </c>
      <c r="T73" s="15">
        <f t="shared" si="120"/>
        <v>-9.2872570194384454E-2</v>
      </c>
      <c r="U73" s="19">
        <f t="shared" si="124"/>
        <v>-4.9817615175239555E-2</v>
      </c>
      <c r="V73" s="10" t="str">
        <f t="shared" si="121"/>
        <v>ENBUnregulatedOperating Income</v>
      </c>
      <c r="W73" s="10" t="str">
        <f t="shared" si="122"/>
        <v>ENBOtherUnregulatedOperating Income</v>
      </c>
      <c r="AB73" s="24"/>
      <c r="AC73" s="15"/>
      <c r="AD73" s="15"/>
      <c r="AE73" s="15"/>
      <c r="AF73" s="19"/>
      <c r="AG73" s="24"/>
    </row>
    <row r="74" spans="2:33" x14ac:dyDescent="0.35"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 s="7"/>
      <c r="AB74"/>
      <c r="AC74"/>
      <c r="AD74"/>
      <c r="AE74"/>
      <c r="AF74"/>
      <c r="AG74"/>
    </row>
    <row r="75" spans="2:33" s="5" customFormat="1" x14ac:dyDescent="0.35">
      <c r="B75" s="5" t="s">
        <v>155</v>
      </c>
      <c r="C75" s="9"/>
      <c r="E75" s="5" t="s">
        <v>194</v>
      </c>
      <c r="F75" s="5" t="s">
        <v>198</v>
      </c>
      <c r="G75" s="5" t="s">
        <v>191</v>
      </c>
      <c r="H75" s="5" t="s">
        <v>193</v>
      </c>
      <c r="I75" s="9">
        <v>2024</v>
      </c>
      <c r="J75" s="9">
        <v>2023</v>
      </c>
      <c r="K75" s="9">
        <v>2022</v>
      </c>
      <c r="L75" s="9"/>
      <c r="M75" s="25">
        <f>I75</f>
        <v>2024</v>
      </c>
      <c r="N75" s="25">
        <f t="shared" ref="N75" si="125">J75</f>
        <v>2023</v>
      </c>
      <c r="O75" s="25">
        <f t="shared" ref="O75" si="126">K75</f>
        <v>2022</v>
      </c>
      <c r="P75" s="26" t="s">
        <v>197</v>
      </c>
      <c r="Q75" s="26"/>
      <c r="R75" s="25">
        <f>M75</f>
        <v>2024</v>
      </c>
      <c r="S75" s="25">
        <f t="shared" ref="S75" si="127">N75</f>
        <v>2023</v>
      </c>
      <c r="T75" s="25">
        <f t="shared" ref="T75" si="128">O75</f>
        <v>2022</v>
      </c>
      <c r="U75" s="26" t="s">
        <v>197</v>
      </c>
      <c r="V75" s="12"/>
      <c r="W75" s="12"/>
      <c r="X75" s="12"/>
      <c r="Y75" s="12"/>
      <c r="Z75" s="25" t="s">
        <v>248</v>
      </c>
      <c r="AB75" s="27"/>
      <c r="AC75" s="25">
        <f>R75</f>
        <v>2024</v>
      </c>
      <c r="AD75" s="25">
        <f t="shared" ref="AD75" si="129">S75</f>
        <v>2023</v>
      </c>
      <c r="AE75" s="25">
        <f t="shared" ref="AE75" si="130">T75</f>
        <v>2022</v>
      </c>
      <c r="AF75" s="26" t="s">
        <v>197</v>
      </c>
      <c r="AG75" s="27"/>
    </row>
    <row r="76" spans="2:33" x14ac:dyDescent="0.35">
      <c r="B76" t="s">
        <v>225</v>
      </c>
      <c r="C76" s="7" t="s">
        <v>156</v>
      </c>
      <c r="E76" s="16" t="s">
        <v>269</v>
      </c>
      <c r="F76" s="16" t="s">
        <v>187</v>
      </c>
      <c r="G76" s="16" t="s">
        <v>163</v>
      </c>
      <c r="H76" t="s">
        <v>186</v>
      </c>
      <c r="I76" s="8">
        <v>2229</v>
      </c>
      <c r="J76" s="8">
        <v>2085</v>
      </c>
      <c r="K76" s="8">
        <v>1906</v>
      </c>
      <c r="L76" s="8"/>
      <c r="M76" s="15">
        <f t="shared" ref="M76:M85" si="131">IFERROR(IF($G76="Regulated", I76/SUMIFS(I:I,$C:$C,$C76,$G:$G,"Regulated", $H:$H, $H76), "n/a"), "n/a")</f>
        <v>0.19428222783927482</v>
      </c>
      <c r="N76" s="15">
        <f t="shared" ref="N76:N85" si="132">IFERROR(IF($G76="Regulated", J76/SUMIFS(J:J,$C:$C,$C76,$G:$G,"Regulated", $H:$H, $H76), "n/a"), "n/a")</f>
        <v>0.18236683285226973</v>
      </c>
      <c r="O76" s="15">
        <f t="shared" ref="O76:O85" si="133">IFERROR(IF($G76="Regulated", K76/SUMIFS(K:K,$C:$C,$C76,$G:$G,"Regulated", $H:$H, $H76), "n/a"), "n/a")</f>
        <v>0.17499081894968785</v>
      </c>
      <c r="P76" s="19">
        <f>IFERROR(AVERAGE(M76:O76), "n/a")</f>
        <v>0.18387995988041081</v>
      </c>
      <c r="Q76" s="19"/>
      <c r="R76" s="15">
        <f t="shared" ref="R76:R85" si="134">IFERROR(I76/SUMIFS(I:I,$C:$C,$C76, $H:$H, $H76), "n/a")</f>
        <v>0.19369134515119918</v>
      </c>
      <c r="S76" s="15">
        <f t="shared" ref="S76:S85" si="135">IFERROR(J76/SUMIFS(J:J,$C:$C,$C76, $H:$H, $H76), "n/a")</f>
        <v>0.18103672831466527</v>
      </c>
      <c r="T76" s="15">
        <f t="shared" ref="T76:T85" si="136">IFERROR(K76/SUMIFS(K:K,$C:$C,$C76, $H:$H, $H76), "n/a")</f>
        <v>0.17259802589875939</v>
      </c>
      <c r="U76" s="19">
        <f>IFERROR(AVERAGE(R76:T76), "n/a")</f>
        <v>0.18244203312154128</v>
      </c>
      <c r="V76" s="10" t="str">
        <f t="shared" ref="V76:V85" si="137">C76&amp;G76&amp;H76</f>
        <v>FTSRegulatedRevenue</v>
      </c>
      <c r="W76" s="10" t="str">
        <f t="shared" ref="W76:W85" si="138">C76&amp;F76&amp;G76&amp;H76</f>
        <v>FTSElectricRegulatedRevenue</v>
      </c>
      <c r="Y76" s="10" t="s">
        <v>263</v>
      </c>
      <c r="Z76" s="28">
        <f>SUMIF(W:W, Y76, U:U)/SUMIF(V:V, C76&amp;G76&amp;H76, U:U)</f>
        <v>0.83093100122146879</v>
      </c>
      <c r="AB76" s="24" t="s">
        <v>201</v>
      </c>
      <c r="AC76" s="15">
        <f>IFERROR(SUMIFS(I:I,$C:$C,$C76, $G:$G, "Regulated", $H:$H, "Revenue")/SUMIFS(I:I,$C:$C,$C76, $H:$H, "Revenue"), "n/a")</f>
        <v>0.99695863746958635</v>
      </c>
      <c r="AD76" s="15">
        <f>IFERROR(SUMIFS(J:J,$C:$C,$C76, $G:$G, "Regulated", $H:$H, "Revenue")/SUMIFS(J:J,$C:$C,$C76, $H:$H, "Revenue"), "n/a")</f>
        <v>0.99270643396717895</v>
      </c>
      <c r="AE76" s="15">
        <f>IFERROR(SUMIFS(K:K,$C:$C,$C76, $G:$G, "Regulated", $H:$H, "Revenue")/SUMIFS(K:K,$C:$C,$C76, $H:$H, "Revenue"), "n/a")</f>
        <v>0.98632617948021373</v>
      </c>
      <c r="AF76" s="19">
        <f>IFERROR(AVERAGE(AC76:AE76), "n/a")</f>
        <v>0.99199708363899308</v>
      </c>
      <c r="AG76" s="24" t="str">
        <f>C76&amp;AB76</f>
        <v>FTSRegulatedRevenue</v>
      </c>
    </row>
    <row r="77" spans="2:33" x14ac:dyDescent="0.35">
      <c r="B77" t="s">
        <v>235</v>
      </c>
      <c r="C77" s="7" t="s">
        <v>156</v>
      </c>
      <c r="E77" s="16" t="s">
        <v>270</v>
      </c>
      <c r="F77" s="16" t="s">
        <v>187</v>
      </c>
      <c r="G77" s="16" t="s">
        <v>163</v>
      </c>
      <c r="H77" t="s">
        <v>186</v>
      </c>
      <c r="I77" s="8">
        <v>3007</v>
      </c>
      <c r="J77" s="8">
        <v>3006</v>
      </c>
      <c r="K77" s="8">
        <v>2758</v>
      </c>
      <c r="L77" s="8"/>
      <c r="M77" s="15">
        <f t="shared" si="131"/>
        <v>0.26209361108689966</v>
      </c>
      <c r="N77" s="15">
        <f t="shared" si="132"/>
        <v>0.26292311729204931</v>
      </c>
      <c r="O77" s="15">
        <f t="shared" si="133"/>
        <v>0.2532133676092545</v>
      </c>
      <c r="P77" s="19">
        <f t="shared" ref="P77:P79" si="139">IFERROR(AVERAGE(M77:O77), "n/a")</f>
        <v>0.25941003199606782</v>
      </c>
      <c r="Q77" s="19"/>
      <c r="R77" s="15">
        <f t="shared" si="134"/>
        <v>0.26129648939867917</v>
      </c>
      <c r="S77" s="15">
        <f t="shared" si="135"/>
        <v>0.26100547017452463</v>
      </c>
      <c r="T77" s="15">
        <f t="shared" si="136"/>
        <v>0.24975097346735489</v>
      </c>
      <c r="U77" s="19">
        <f t="shared" ref="U77:U79" si="140">IFERROR(AVERAGE(R77:T77), "n/a")</f>
        <v>0.25735097768018622</v>
      </c>
      <c r="V77" s="10" t="str">
        <f t="shared" si="137"/>
        <v>FTSRegulatedRevenue</v>
      </c>
      <c r="W77" s="10" t="str">
        <f t="shared" si="138"/>
        <v>FTSElectricRegulatedRevenue</v>
      </c>
      <c r="Y77" s="10" t="s">
        <v>264</v>
      </c>
      <c r="Z77" s="28">
        <f>SUMIF(W:W, Y77, U:U)/SUMIF(V:V, C77&amp;G77&amp;H77, U:U)</f>
        <v>0.16906899877853107</v>
      </c>
      <c r="AB77" s="24" t="s">
        <v>202</v>
      </c>
      <c r="AC77" s="15">
        <f>IFERROR(SUMIFS(I:I,$C:$C,$C77, $G:$G, "Unregulated", $H:$H, "Revenue")/SUMIFS(I:I,$C:$C,$C77, $H:$H, "Revenue"), "n/a")</f>
        <v>3.0413625304136255E-3</v>
      </c>
      <c r="AD77" s="15">
        <f>IFERROR(SUMIFS(J:J,$C:$C,$C77, $G:$G, "Unregulated", $H:$H, "Revenue")/SUMIFS(J:J,$C:$C,$C77, $H:$H, "Revenue"), "n/a")</f>
        <v>7.2935660328210476E-3</v>
      </c>
      <c r="AE77" s="15">
        <f>IFERROR(SUMIFS(K:K,$C:$C,$C77, $G:$G, "Unregulated", $H:$H, "Revenue")/SUMIFS(K:K,$C:$C,$C77, $H:$H, "Revenue"), "n/a")</f>
        <v>1.367382051978629E-2</v>
      </c>
      <c r="AF77" s="19">
        <f>IFERROR(AVERAGE(AC77:AE77), "n/a")</f>
        <v>8.002916361006987E-3</v>
      </c>
      <c r="AG77" s="24" t="str">
        <f>C77&amp;AB77</f>
        <v>FTSUnregulatedRevenue</v>
      </c>
    </row>
    <row r="78" spans="2:33" x14ac:dyDescent="0.35">
      <c r="B78" t="s">
        <v>236</v>
      </c>
      <c r="C78" s="7" t="s">
        <v>156</v>
      </c>
      <c r="E78" s="16" t="s">
        <v>271</v>
      </c>
      <c r="F78" s="16" t="s">
        <v>187</v>
      </c>
      <c r="G78" s="16" t="s">
        <v>163</v>
      </c>
      <c r="H78" t="s">
        <v>186</v>
      </c>
      <c r="I78" s="8">
        <v>1372</v>
      </c>
      <c r="J78" s="8">
        <v>1360</v>
      </c>
      <c r="K78" s="8">
        <v>1325</v>
      </c>
      <c r="L78" s="8"/>
      <c r="M78" s="15">
        <f t="shared" si="131"/>
        <v>0.11958511287370348</v>
      </c>
      <c r="N78" s="15">
        <f t="shared" si="132"/>
        <v>0.11895390536167236</v>
      </c>
      <c r="O78" s="15">
        <f t="shared" si="133"/>
        <v>0.12164891663606317</v>
      </c>
      <c r="P78" s="19">
        <f t="shared" si="139"/>
        <v>0.12006264495714632</v>
      </c>
      <c r="Q78" s="19"/>
      <c r="R78" s="15">
        <f t="shared" si="134"/>
        <v>0.11922141119221411</v>
      </c>
      <c r="S78" s="15">
        <f t="shared" si="135"/>
        <v>0.11808630719805505</v>
      </c>
      <c r="T78" s="15">
        <f t="shared" si="136"/>
        <v>0.11998551118355519</v>
      </c>
      <c r="U78" s="19">
        <f t="shared" si="140"/>
        <v>0.11909774319127479</v>
      </c>
      <c r="V78" s="10" t="str">
        <f t="shared" si="137"/>
        <v>FTSRegulatedRevenue</v>
      </c>
      <c r="W78" s="10" t="str">
        <f t="shared" si="138"/>
        <v>FTSElectricRegulatedRevenue</v>
      </c>
      <c r="Z78" s="28"/>
      <c r="AB78" s="24"/>
      <c r="AC78" s="15"/>
      <c r="AD78" s="15"/>
      <c r="AE78" s="15"/>
      <c r="AF78" s="19"/>
      <c r="AG78" s="24"/>
    </row>
    <row r="79" spans="2:33" x14ac:dyDescent="0.35">
      <c r="B79" t="s">
        <v>237</v>
      </c>
      <c r="C79" s="7" t="s">
        <v>156</v>
      </c>
      <c r="E79" s="16" t="s">
        <v>272</v>
      </c>
      <c r="F79" s="16" t="s">
        <v>164</v>
      </c>
      <c r="G79" s="16" t="s">
        <v>163</v>
      </c>
      <c r="H79" t="s">
        <v>186</v>
      </c>
      <c r="I79" s="8">
        <v>1665</v>
      </c>
      <c r="J79" s="8">
        <v>1955</v>
      </c>
      <c r="K79" s="8">
        <v>2084</v>
      </c>
      <c r="L79" s="8"/>
      <c r="M79" s="15">
        <f t="shared" si="131"/>
        <v>0.14512333304279612</v>
      </c>
      <c r="N79" s="15">
        <f t="shared" si="132"/>
        <v>0.17099623895740401</v>
      </c>
      <c r="O79" s="15">
        <f t="shared" si="133"/>
        <v>0.19133308850532502</v>
      </c>
      <c r="P79" s="19">
        <f t="shared" si="139"/>
        <v>0.16915088683517507</v>
      </c>
      <c r="Q79" s="19"/>
      <c r="R79" s="15">
        <f t="shared" si="134"/>
        <v>0.14468196037539102</v>
      </c>
      <c r="S79" s="15">
        <f t="shared" si="135"/>
        <v>0.16974906659720412</v>
      </c>
      <c r="T79" s="15">
        <f t="shared" si="136"/>
        <v>0.1887168341936068</v>
      </c>
      <c r="U79" s="19">
        <f t="shared" si="140"/>
        <v>0.1677159537220673</v>
      </c>
      <c r="V79" s="10" t="str">
        <f t="shared" si="137"/>
        <v>FTSRegulatedRevenue</v>
      </c>
      <c r="W79" s="10" t="str">
        <f t="shared" si="138"/>
        <v>FTSGasRegulatedRevenue</v>
      </c>
      <c r="AB79" s="24"/>
      <c r="AC79" s="15"/>
      <c r="AD79" s="15"/>
      <c r="AE79" s="15"/>
      <c r="AF79" s="19"/>
      <c r="AG79" s="24"/>
    </row>
    <row r="80" spans="2:33" x14ac:dyDescent="0.35">
      <c r="C80" s="7" t="s">
        <v>156</v>
      </c>
      <c r="E80" s="16" t="s">
        <v>273</v>
      </c>
      <c r="F80" s="16" t="s">
        <v>187</v>
      </c>
      <c r="G80" s="16" t="s">
        <v>163</v>
      </c>
      <c r="H80" t="s">
        <v>186</v>
      </c>
      <c r="I80" s="8">
        <v>817</v>
      </c>
      <c r="J80" s="8">
        <v>738</v>
      </c>
      <c r="K80" s="8">
        <v>680</v>
      </c>
      <c r="L80" s="8"/>
      <c r="M80" s="15">
        <f t="shared" si="131"/>
        <v>7.1210668526104762E-2</v>
      </c>
      <c r="N80" s="15">
        <f t="shared" si="132"/>
        <v>6.4549986880083968E-2</v>
      </c>
      <c r="O80" s="15">
        <f t="shared" si="133"/>
        <v>6.243114212265883E-2</v>
      </c>
      <c r="P80" s="19">
        <f t="shared" ref="P80:P85" si="141">IFERROR(AVERAGE(M80:O80), "n/a")</f>
        <v>6.6063932509615855E-2</v>
      </c>
      <c r="Q80" s="19"/>
      <c r="R80" s="15">
        <f t="shared" si="134"/>
        <v>7.0994091067083764E-2</v>
      </c>
      <c r="S80" s="15">
        <f t="shared" si="135"/>
        <v>6.4079187288356348E-2</v>
      </c>
      <c r="T80" s="15">
        <f t="shared" si="136"/>
        <v>6.1577469890428324E-2</v>
      </c>
      <c r="U80" s="19">
        <f t="shared" ref="U80:U85" si="142">IFERROR(AVERAGE(R80:T80), "n/a")</f>
        <v>6.5550249415289474E-2</v>
      </c>
      <c r="V80" s="10" t="str">
        <f t="shared" si="137"/>
        <v>FTSRegulatedRevenue</v>
      </c>
      <c r="W80" s="10" t="str">
        <f t="shared" si="138"/>
        <v>FTSElectricRegulatedRevenue</v>
      </c>
      <c r="AB80" s="24"/>
      <c r="AC80" s="15"/>
      <c r="AD80" s="15"/>
      <c r="AE80" s="15"/>
      <c r="AF80" s="19"/>
      <c r="AG80" s="24"/>
    </row>
    <row r="81" spans="3:33" x14ac:dyDescent="0.35">
      <c r="C81" s="7" t="s">
        <v>156</v>
      </c>
      <c r="E81" s="16" t="s">
        <v>274</v>
      </c>
      <c r="F81" s="16" t="s">
        <v>187</v>
      </c>
      <c r="G81" s="16" t="s">
        <v>163</v>
      </c>
      <c r="H81" t="s">
        <v>186</v>
      </c>
      <c r="I81" s="8">
        <v>545</v>
      </c>
      <c r="J81" s="8">
        <v>528</v>
      </c>
      <c r="K81" s="8">
        <v>487</v>
      </c>
      <c r="L81" s="8"/>
      <c r="M81" s="15">
        <f t="shared" si="131"/>
        <v>4.7502832737732065E-2</v>
      </c>
      <c r="N81" s="15">
        <f t="shared" si="132"/>
        <v>4.6182104434531621E-2</v>
      </c>
      <c r="O81" s="15">
        <f t="shared" si="133"/>
        <v>4.4711715020198307E-2</v>
      </c>
      <c r="P81" s="19">
        <f t="shared" si="141"/>
        <v>4.6132217397487331E-2</v>
      </c>
      <c r="Q81" s="19"/>
      <c r="R81" s="15">
        <f t="shared" si="134"/>
        <v>4.735835940215502E-2</v>
      </c>
      <c r="S81" s="15">
        <f t="shared" si="135"/>
        <v>4.5845272206303724E-2</v>
      </c>
      <c r="T81" s="15">
        <f t="shared" si="136"/>
        <v>4.4100335053880287E-2</v>
      </c>
      <c r="U81" s="19">
        <f t="shared" si="142"/>
        <v>4.5767988887446341E-2</v>
      </c>
      <c r="V81" s="10" t="str">
        <f t="shared" si="137"/>
        <v>FTSRegulatedRevenue</v>
      </c>
      <c r="W81" s="10" t="str">
        <f t="shared" si="138"/>
        <v>FTSElectricRegulatedRevenue</v>
      </c>
      <c r="AB81" s="24"/>
      <c r="AC81" s="15"/>
      <c r="AD81" s="15"/>
      <c r="AE81" s="15"/>
      <c r="AF81" s="19"/>
      <c r="AG81" s="24"/>
    </row>
    <row r="82" spans="3:33" x14ac:dyDescent="0.35">
      <c r="C82" s="7" t="s">
        <v>156</v>
      </c>
      <c r="E82" s="16" t="s">
        <v>275</v>
      </c>
      <c r="F82" s="16" t="s">
        <v>187</v>
      </c>
      <c r="G82" s="16" t="s">
        <v>163</v>
      </c>
      <c r="H82" t="s">
        <v>186</v>
      </c>
      <c r="I82" s="8">
        <v>1838</v>
      </c>
      <c r="J82" s="8">
        <v>1761</v>
      </c>
      <c r="K82" s="8">
        <v>1652</v>
      </c>
      <c r="L82" s="8"/>
      <c r="M82" s="15">
        <f t="shared" si="131"/>
        <v>0.16020221389348907</v>
      </c>
      <c r="N82" s="15">
        <f t="shared" si="132"/>
        <v>0.15402781422198897</v>
      </c>
      <c r="O82" s="15">
        <f t="shared" si="133"/>
        <v>0.15167095115681234</v>
      </c>
      <c r="P82" s="19">
        <f t="shared" si="141"/>
        <v>0.1553003264240968</v>
      </c>
      <c r="Q82" s="19"/>
      <c r="R82" s="15">
        <f t="shared" si="134"/>
        <v>0.15971498088286409</v>
      </c>
      <c r="S82" s="15">
        <f t="shared" si="135"/>
        <v>0.1529044021880698</v>
      </c>
      <c r="T82" s="15">
        <f t="shared" si="136"/>
        <v>0.14959702979262882</v>
      </c>
      <c r="U82" s="19">
        <f t="shared" si="142"/>
        <v>0.15407213762118757</v>
      </c>
      <c r="V82" s="10" t="str">
        <f t="shared" si="137"/>
        <v>FTSRegulatedRevenue</v>
      </c>
      <c r="W82" s="10" t="str">
        <f t="shared" si="138"/>
        <v>FTSElectricRegulatedRevenue</v>
      </c>
      <c r="AB82" s="24"/>
      <c r="AC82" s="15"/>
      <c r="AD82" s="15"/>
      <c r="AE82" s="15"/>
      <c r="AF82" s="19"/>
      <c r="AG82" s="24"/>
    </row>
    <row r="83" spans="3:33" x14ac:dyDescent="0.35">
      <c r="C83" s="7" t="s">
        <v>156</v>
      </c>
      <c r="E83" s="16" t="s">
        <v>276</v>
      </c>
      <c r="F83" s="16" t="s">
        <v>161</v>
      </c>
      <c r="G83" s="16" t="s">
        <v>192</v>
      </c>
      <c r="H83" t="s">
        <v>186</v>
      </c>
      <c r="I83" s="8">
        <v>35</v>
      </c>
      <c r="J83" s="8">
        <v>84</v>
      </c>
      <c r="K83" s="8">
        <v>151</v>
      </c>
      <c r="L83" s="8"/>
      <c r="M83" s="15" t="str">
        <f t="shared" si="131"/>
        <v>n/a</v>
      </c>
      <c r="N83" s="15" t="str">
        <f t="shared" si="132"/>
        <v>n/a</v>
      </c>
      <c r="O83" s="15" t="str">
        <f t="shared" si="133"/>
        <v>n/a</v>
      </c>
      <c r="P83" s="19" t="str">
        <f t="shared" si="141"/>
        <v>n/a</v>
      </c>
      <c r="Q83" s="19"/>
      <c r="R83" s="15">
        <f t="shared" si="134"/>
        <v>3.0413625304136255E-3</v>
      </c>
      <c r="S83" s="15">
        <f t="shared" si="135"/>
        <v>7.2935660328210476E-3</v>
      </c>
      <c r="T83" s="15">
        <f t="shared" si="136"/>
        <v>1.367382051978629E-2</v>
      </c>
      <c r="U83" s="19">
        <f t="shared" si="142"/>
        <v>8.002916361006987E-3</v>
      </c>
      <c r="V83" s="10" t="str">
        <f t="shared" si="137"/>
        <v>FTSUnregulatedRevenue</v>
      </c>
      <c r="W83" s="10" t="str">
        <f t="shared" si="138"/>
        <v>FTSOtherUnregulatedRevenue</v>
      </c>
      <c r="AB83" s="24"/>
      <c r="AC83" s="15"/>
      <c r="AD83" s="15"/>
      <c r="AE83" s="15"/>
      <c r="AF83" s="19"/>
      <c r="AG83" s="24"/>
    </row>
    <row r="84" spans="3:33" x14ac:dyDescent="0.35">
      <c r="C84" s="7" t="s">
        <v>156</v>
      </c>
      <c r="E84" s="16" t="s">
        <v>277</v>
      </c>
      <c r="F84" s="16" t="s">
        <v>161</v>
      </c>
      <c r="G84" s="16" t="s">
        <v>192</v>
      </c>
      <c r="H84" t="s">
        <v>186</v>
      </c>
      <c r="I84" s="8">
        <v>0</v>
      </c>
      <c r="J84" s="8">
        <v>0</v>
      </c>
      <c r="K84" s="8">
        <v>0</v>
      </c>
      <c r="L84" s="8"/>
      <c r="M84" s="15" t="str">
        <f t="shared" si="131"/>
        <v>n/a</v>
      </c>
      <c r="N84" s="15" t="str">
        <f t="shared" si="132"/>
        <v>n/a</v>
      </c>
      <c r="O84" s="15" t="str">
        <f t="shared" si="133"/>
        <v>n/a</v>
      </c>
      <c r="P84" s="19" t="str">
        <f t="shared" si="141"/>
        <v>n/a</v>
      </c>
      <c r="Q84" s="19"/>
      <c r="R84" s="15">
        <f t="shared" si="134"/>
        <v>0</v>
      </c>
      <c r="S84" s="15">
        <f t="shared" si="135"/>
        <v>0</v>
      </c>
      <c r="T84" s="15">
        <f t="shared" si="136"/>
        <v>0</v>
      </c>
      <c r="U84" s="19">
        <f t="shared" si="142"/>
        <v>0</v>
      </c>
      <c r="V84" s="10" t="str">
        <f t="shared" si="137"/>
        <v>FTSUnregulatedRevenue</v>
      </c>
      <c r="W84" s="10" t="str">
        <f t="shared" si="138"/>
        <v>FTSOtherUnregulatedRevenue</v>
      </c>
      <c r="AB84" s="24"/>
      <c r="AC84" s="15"/>
      <c r="AD84" s="15"/>
      <c r="AE84" s="15"/>
      <c r="AF84" s="19"/>
      <c r="AG84" s="24"/>
    </row>
    <row r="85" spans="3:33" x14ac:dyDescent="0.35">
      <c r="C85" s="7" t="s">
        <v>156</v>
      </c>
      <c r="E85" s="16" t="s">
        <v>278</v>
      </c>
      <c r="F85" s="16" t="s">
        <v>161</v>
      </c>
      <c r="G85" s="16" t="s">
        <v>192</v>
      </c>
      <c r="H85" t="s">
        <v>186</v>
      </c>
      <c r="I85" s="8">
        <v>0</v>
      </c>
      <c r="J85" s="8">
        <v>0</v>
      </c>
      <c r="K85" s="8">
        <v>0</v>
      </c>
      <c r="L85" s="8"/>
      <c r="M85" s="15" t="str">
        <f t="shared" si="131"/>
        <v>n/a</v>
      </c>
      <c r="N85" s="15" t="str">
        <f t="shared" si="132"/>
        <v>n/a</v>
      </c>
      <c r="O85" s="15" t="str">
        <f t="shared" si="133"/>
        <v>n/a</v>
      </c>
      <c r="P85" s="19" t="str">
        <f t="shared" si="141"/>
        <v>n/a</v>
      </c>
      <c r="Q85" s="19"/>
      <c r="R85" s="15">
        <f t="shared" si="134"/>
        <v>0</v>
      </c>
      <c r="S85" s="15">
        <f t="shared" si="135"/>
        <v>0</v>
      </c>
      <c r="T85" s="15">
        <f t="shared" si="136"/>
        <v>0</v>
      </c>
      <c r="U85" s="19">
        <f t="shared" si="142"/>
        <v>0</v>
      </c>
      <c r="V85" s="10" t="str">
        <f t="shared" si="137"/>
        <v>FTSUnregulatedRevenue</v>
      </c>
      <c r="W85" s="10" t="str">
        <f t="shared" si="138"/>
        <v>FTSOtherUnregulatedRevenue</v>
      </c>
      <c r="AB85" s="24"/>
      <c r="AC85" s="15"/>
      <c r="AD85" s="15"/>
      <c r="AE85" s="15"/>
      <c r="AF85" s="19"/>
      <c r="AG85" s="24"/>
    </row>
    <row r="86" spans="3:33" x14ac:dyDescent="0.35">
      <c r="M86" s="15"/>
      <c r="N86" s="15"/>
      <c r="O86" s="15"/>
      <c r="P86" s="19"/>
      <c r="Q86" s="19"/>
      <c r="R86" s="15"/>
      <c r="S86" s="15"/>
      <c r="T86" s="15"/>
      <c r="U86" s="19"/>
      <c r="AB86" s="24"/>
      <c r="AC86" s="15"/>
      <c r="AD86" s="15"/>
      <c r="AE86" s="15"/>
      <c r="AF86" s="19"/>
      <c r="AG86" s="24"/>
    </row>
    <row r="87" spans="3:33" x14ac:dyDescent="0.35">
      <c r="E87" s="5" t="s">
        <v>194</v>
      </c>
      <c r="F87" s="5" t="s">
        <v>198</v>
      </c>
      <c r="G87" s="5" t="s">
        <v>191</v>
      </c>
      <c r="H87" s="5" t="s">
        <v>193</v>
      </c>
      <c r="I87" s="9">
        <v>2024</v>
      </c>
      <c r="J87" s="9">
        <v>2023</v>
      </c>
      <c r="K87" s="9">
        <v>2022</v>
      </c>
      <c r="L87" s="9"/>
      <c r="M87" s="14">
        <f>I87</f>
        <v>2024</v>
      </c>
      <c r="N87" s="14">
        <f t="shared" ref="N87" si="143">J87</f>
        <v>2023</v>
      </c>
      <c r="O87" s="14">
        <f t="shared" ref="O87" si="144">K87</f>
        <v>2022</v>
      </c>
      <c r="P87" s="18" t="s">
        <v>197</v>
      </c>
      <c r="Q87" s="18"/>
      <c r="R87" s="14">
        <f>M87</f>
        <v>2024</v>
      </c>
      <c r="S87" s="14">
        <f t="shared" ref="S87" si="145">N87</f>
        <v>2023</v>
      </c>
      <c r="T87" s="14">
        <f t="shared" ref="T87" si="146">O87</f>
        <v>2022</v>
      </c>
      <c r="U87" s="18" t="s">
        <v>197</v>
      </c>
      <c r="Y87" s="12"/>
      <c r="Z87" s="25" t="s">
        <v>248</v>
      </c>
      <c r="AC87" s="14">
        <f>R87</f>
        <v>2024</v>
      </c>
      <c r="AD87" s="14">
        <f t="shared" ref="AD87" si="147">S87</f>
        <v>2023</v>
      </c>
      <c r="AE87" s="14">
        <f t="shared" ref="AE87" si="148">T87</f>
        <v>2022</v>
      </c>
      <c r="AF87" s="18" t="s">
        <v>197</v>
      </c>
    </row>
    <row r="88" spans="3:33" x14ac:dyDescent="0.35">
      <c r="C88" s="7" t="s">
        <v>156</v>
      </c>
      <c r="E88" s="16" t="s">
        <v>269</v>
      </c>
      <c r="F88" s="16" t="s">
        <v>187</v>
      </c>
      <c r="G88" s="16" t="s">
        <v>163</v>
      </c>
      <c r="H88" t="s">
        <v>195</v>
      </c>
      <c r="I88" s="8">
        <v>1251</v>
      </c>
      <c r="J88" s="8">
        <v>1175</v>
      </c>
      <c r="K88" s="8">
        <v>1040</v>
      </c>
      <c r="L88" s="8"/>
      <c r="M88" s="15">
        <f t="shared" ref="M88:M97" si="149">IFERROR(IF($G88="Regulated", I88/SUMIFS(I:I,$C:$C,$C88,$G:$G,"Regulated", $H:$H, $H88), "n/a"), "n/a")</f>
        <v>0.37760338062179294</v>
      </c>
      <c r="N88" s="15">
        <f t="shared" ref="N88:N97" si="150">IFERROR(IF($G88="Regulated", J88/SUMIFS(J:J,$C:$C,$C88,$G:$G,"Regulated", $H:$H, $H88), "n/a"), "n/a")</f>
        <v>0.38136968516715353</v>
      </c>
      <c r="O88" s="15">
        <f t="shared" ref="O88:O97" si="151">IFERROR(IF($G88="Regulated", K88/SUMIFS(K:K,$C:$C,$C88,$G:$G,"Regulated", $H:$H, $H88), "n/a"), "n/a")</f>
        <v>0.38907594463150019</v>
      </c>
      <c r="P88" s="19">
        <f>IFERROR(AVERAGE(M88:O88), "n/a")</f>
        <v>0.38268300347348222</v>
      </c>
      <c r="Q88" s="19"/>
      <c r="R88" s="15">
        <f t="shared" ref="R88:R97" si="152">IFERROR(I88/SUMIFS(I:I,$C:$C,$C88, $H:$H, $H88), "n/a")</f>
        <v>0.38001215066828675</v>
      </c>
      <c r="S88" s="15">
        <f t="shared" ref="S88:S97" si="153">IFERROR(J88/SUMIFS(J:J,$C:$C,$C88, $H:$H, $H88), "n/a")</f>
        <v>0.38099870298313876</v>
      </c>
      <c r="T88" s="15">
        <f t="shared" ref="T88:T97" si="154">IFERROR(K88/SUMIFS(K:K,$C:$C,$C88, $H:$H, $H88), "n/a")</f>
        <v>0.37956204379562042</v>
      </c>
      <c r="U88" s="19">
        <f>IFERROR(AVERAGE(R88:T88), "n/a")</f>
        <v>0.38019096581568196</v>
      </c>
      <c r="V88" s="10" t="str">
        <f t="shared" ref="V88:V97" si="155">C88&amp;G88&amp;H88</f>
        <v>FTSRegulatedOperating Income</v>
      </c>
      <c r="W88" s="10" t="str">
        <f t="shared" ref="W88:W97" si="156">C88&amp;F88&amp;G88&amp;H88</f>
        <v>FTSElectricRegulatedOperating Income</v>
      </c>
      <c r="Y88" s="10" t="s">
        <v>265</v>
      </c>
      <c r="Z88" s="28">
        <f>SUMIF(W:W, Y88, U:U)/SUMIF(V:V, C88&amp;G88&amp;H88, U:U)</f>
        <v>0.8534464004204485</v>
      </c>
      <c r="AB88" s="24" t="s">
        <v>203</v>
      </c>
      <c r="AC88" s="15">
        <f>IFERROR(SUMIFS(I:I,$C:$C,$C88, $G:$G, "Regulated", $H:$H, "Operating Income")/SUMIFS(I:I,$C:$C,$C88, $H:$H, "Operating Income"), "n/a")</f>
        <v>1.0063791008505467</v>
      </c>
      <c r="AD88" s="15">
        <f>IFERROR(SUMIFS(J:J,$C:$C,$C88, $G:$G, "Regulated", $H:$H, "Operating Income")/SUMIFS(J:J,$C:$C,$C88, $H:$H, "Operating Income"), "n/a")</f>
        <v>0.99902723735408561</v>
      </c>
      <c r="AE88" s="15">
        <f>IFERROR(SUMIFS(K:K,$C:$C,$C88, $G:$G, "Regulated", $H:$H, "Operating Income")/SUMIFS(K:K,$C:$C,$C88, $H:$H, "Operating Income"), "n/a")</f>
        <v>0.97554744525547443</v>
      </c>
      <c r="AF88" s="19">
        <f>IFERROR(AVERAGE(AC88:AE88), "n/a")</f>
        <v>0.99365126115336888</v>
      </c>
      <c r="AG88" s="24" t="str">
        <f>C88&amp;AB88</f>
        <v>FTSRegulatedOperating Income</v>
      </c>
    </row>
    <row r="89" spans="3:33" x14ac:dyDescent="0.35">
      <c r="C89" s="7" t="s">
        <v>156</v>
      </c>
      <c r="E89" s="16" t="s">
        <v>270</v>
      </c>
      <c r="F89" s="16" t="s">
        <v>187</v>
      </c>
      <c r="G89" s="16" t="s">
        <v>163</v>
      </c>
      <c r="H89" t="s">
        <v>195</v>
      </c>
      <c r="I89" s="8">
        <v>622</v>
      </c>
      <c r="J89" s="8">
        <v>579</v>
      </c>
      <c r="K89" s="8">
        <v>489</v>
      </c>
      <c r="L89" s="8"/>
      <c r="M89" s="15">
        <f t="shared" si="149"/>
        <v>0.18774524600060369</v>
      </c>
      <c r="N89" s="15">
        <f t="shared" si="150"/>
        <v>0.18792599805258034</v>
      </c>
      <c r="O89" s="15">
        <f t="shared" si="151"/>
        <v>0.18294051627384961</v>
      </c>
      <c r="P89" s="19">
        <f t="shared" ref="P89:P90" si="157">IFERROR(AVERAGE(M89:O89), "n/a")</f>
        <v>0.18620392010901121</v>
      </c>
      <c r="Q89" s="19"/>
      <c r="R89" s="15">
        <f t="shared" si="152"/>
        <v>0.18894289185905225</v>
      </c>
      <c r="S89" s="15">
        <f t="shared" si="153"/>
        <v>0.1877431906614786</v>
      </c>
      <c r="T89" s="15">
        <f t="shared" si="154"/>
        <v>0.17846715328467153</v>
      </c>
      <c r="U89" s="19">
        <f t="shared" ref="U89:U90" si="158">IFERROR(AVERAGE(R89:T89), "n/a")</f>
        <v>0.18505107860173411</v>
      </c>
      <c r="V89" s="10" t="str">
        <f t="shared" si="155"/>
        <v>FTSRegulatedOperating Income</v>
      </c>
      <c r="W89" s="10" t="str">
        <f t="shared" si="156"/>
        <v>FTSElectricRegulatedOperating Income</v>
      </c>
      <c r="Y89" s="10" t="s">
        <v>266</v>
      </c>
      <c r="Z89" s="28">
        <f>SUMIF(W:W, Y89, U:U)/SUMIF(V:V, C89&amp;G89&amp;H89, U:U)</f>
        <v>0.1465535995795515</v>
      </c>
      <c r="AB89" s="24" t="s">
        <v>204</v>
      </c>
      <c r="AC89" s="15">
        <f>IFERROR(SUMIFS(I:I,$C:$C,$C89, $G:$G, "Unregulated", $H:$H, "Operating Income")/SUMIFS(I:I,$C:$C,$C89, $H:$H, "Operating Income"), "n/a")</f>
        <v>-6.3791008505467801E-3</v>
      </c>
      <c r="AD89" s="15">
        <f>IFERROR(SUMIFS(J:J,$C:$C,$C89, $G:$G, "Unregulated", $H:$H, "Operating Income")/SUMIFS(J:J,$C:$C,$C89, $H:$H, "Operating Income"), "n/a")</f>
        <v>9.727626459143969E-4</v>
      </c>
      <c r="AE89" s="15">
        <f>IFERROR(SUMIFS(K:K,$C:$C,$C89, $G:$G, "Unregulated", $H:$H, "Operating Income")/SUMIFS(K:K,$C:$C,$C89, $H:$H, "Operating Income"), "n/a")</f>
        <v>2.4452554744525547E-2</v>
      </c>
      <c r="AF89" s="19">
        <f>IFERROR(AVERAGE(AC89:AE89), "n/a")</f>
        <v>6.3487388466310539E-3</v>
      </c>
      <c r="AG89" s="24" t="str">
        <f>C89&amp;AB89</f>
        <v>FTSUnregulatedOperating Income</v>
      </c>
    </row>
    <row r="90" spans="3:33" x14ac:dyDescent="0.35">
      <c r="C90" s="7" t="s">
        <v>156</v>
      </c>
      <c r="E90" s="16" t="s">
        <v>271</v>
      </c>
      <c r="F90" s="16" t="s">
        <v>187</v>
      </c>
      <c r="G90" s="16" t="s">
        <v>163</v>
      </c>
      <c r="H90" t="s">
        <v>195</v>
      </c>
      <c r="I90" s="8">
        <v>186</v>
      </c>
      <c r="J90" s="8">
        <v>147</v>
      </c>
      <c r="K90" s="8">
        <v>125</v>
      </c>
      <c r="L90" s="8"/>
      <c r="M90" s="15">
        <f t="shared" si="149"/>
        <v>5.6142469061273771E-2</v>
      </c>
      <c r="N90" s="15">
        <f t="shared" si="150"/>
        <v>4.7711781888997079E-2</v>
      </c>
      <c r="O90" s="15">
        <f t="shared" si="151"/>
        <v>4.6763935652824544E-2</v>
      </c>
      <c r="P90" s="19">
        <f t="shared" si="157"/>
        <v>5.0206062201031798E-2</v>
      </c>
      <c r="Q90" s="19"/>
      <c r="R90" s="15">
        <f t="shared" si="152"/>
        <v>5.6500607533414335E-2</v>
      </c>
      <c r="S90" s="15">
        <f t="shared" si="153"/>
        <v>4.7665369649805445E-2</v>
      </c>
      <c r="T90" s="15">
        <f t="shared" si="154"/>
        <v>4.5620437956204379E-2</v>
      </c>
      <c r="U90" s="19">
        <f t="shared" si="158"/>
        <v>4.9928805046474713E-2</v>
      </c>
      <c r="V90" s="10" t="str">
        <f t="shared" si="155"/>
        <v>FTSRegulatedOperating Income</v>
      </c>
      <c r="W90" s="10" t="str">
        <f t="shared" si="156"/>
        <v>FTSElectricRegulatedOperating Income</v>
      </c>
      <c r="AB90" s="24"/>
      <c r="AC90" s="15"/>
      <c r="AD90" s="15"/>
      <c r="AE90" s="15"/>
      <c r="AF90" s="19"/>
      <c r="AG90" s="24"/>
    </row>
    <row r="91" spans="3:33" x14ac:dyDescent="0.35">
      <c r="C91" s="7" t="s">
        <v>156</v>
      </c>
      <c r="E91" s="16" t="s">
        <v>272</v>
      </c>
      <c r="F91" s="16" t="s">
        <v>164</v>
      </c>
      <c r="G91" s="16" t="s">
        <v>163</v>
      </c>
      <c r="H91" t="s">
        <v>195</v>
      </c>
      <c r="I91" s="8">
        <v>487</v>
      </c>
      <c r="J91" s="8">
        <v>478</v>
      </c>
      <c r="K91" s="8">
        <v>367</v>
      </c>
      <c r="L91" s="8"/>
      <c r="M91" s="15">
        <f t="shared" si="149"/>
        <v>0.14699667974645336</v>
      </c>
      <c r="N91" s="15">
        <f t="shared" si="150"/>
        <v>0.15514443362544628</v>
      </c>
      <c r="O91" s="15">
        <f t="shared" si="151"/>
        <v>0.13729891507669287</v>
      </c>
      <c r="P91" s="19">
        <f t="shared" ref="P91:P97" si="159">IFERROR(AVERAGE(M91:O91), "n/a")</f>
        <v>0.14648000948286419</v>
      </c>
      <c r="Q91" s="19"/>
      <c r="R91" s="15">
        <f t="shared" si="152"/>
        <v>0.14793438639125153</v>
      </c>
      <c r="S91" s="15">
        <f t="shared" si="153"/>
        <v>0.15499351491569391</v>
      </c>
      <c r="T91" s="15">
        <f t="shared" si="154"/>
        <v>0.13394160583941606</v>
      </c>
      <c r="U91" s="19">
        <f t="shared" ref="U91:U97" si="160">IFERROR(AVERAGE(R91:T91), "n/a")</f>
        <v>0.14562316904878717</v>
      </c>
      <c r="V91" s="10" t="str">
        <f t="shared" si="155"/>
        <v>FTSRegulatedOperating Income</v>
      </c>
      <c r="W91" s="10" t="str">
        <f t="shared" si="156"/>
        <v>FTSGasRegulatedOperating Income</v>
      </c>
      <c r="AB91" s="24"/>
      <c r="AC91" s="15"/>
      <c r="AD91" s="15"/>
      <c r="AE91" s="15"/>
      <c r="AF91" s="19"/>
      <c r="AG91" s="24"/>
    </row>
    <row r="92" spans="3:33" x14ac:dyDescent="0.35">
      <c r="C92" s="7" t="s">
        <v>156</v>
      </c>
      <c r="E92" s="16" t="s">
        <v>273</v>
      </c>
      <c r="F92" s="16" t="s">
        <v>187</v>
      </c>
      <c r="G92" s="16" t="s">
        <v>163</v>
      </c>
      <c r="H92" t="s">
        <v>195</v>
      </c>
      <c r="I92" s="8">
        <v>331</v>
      </c>
      <c r="J92" s="8">
        <v>293</v>
      </c>
      <c r="K92" s="8">
        <v>271</v>
      </c>
      <c r="L92" s="8"/>
      <c r="M92" s="15">
        <f t="shared" si="149"/>
        <v>9.9909447630546336E-2</v>
      </c>
      <c r="N92" s="15">
        <f t="shared" si="150"/>
        <v>9.5098993833171053E-2</v>
      </c>
      <c r="O92" s="15">
        <f t="shared" si="151"/>
        <v>0.1013842124953236</v>
      </c>
      <c r="P92" s="19">
        <f t="shared" si="159"/>
        <v>9.8797551319680321E-2</v>
      </c>
      <c r="Q92" s="19"/>
      <c r="R92" s="15">
        <f t="shared" si="152"/>
        <v>0.100546780072904</v>
      </c>
      <c r="S92" s="15">
        <f t="shared" si="153"/>
        <v>9.5006485084306092E-2</v>
      </c>
      <c r="T92" s="15">
        <f t="shared" si="154"/>
        <v>9.8905109489051096E-2</v>
      </c>
      <c r="U92" s="19">
        <f t="shared" si="160"/>
        <v>9.815279154875374E-2</v>
      </c>
      <c r="V92" s="10" t="str">
        <f t="shared" si="155"/>
        <v>FTSRegulatedOperating Income</v>
      </c>
      <c r="W92" s="10" t="str">
        <f t="shared" si="156"/>
        <v>FTSElectricRegulatedOperating Income</v>
      </c>
      <c r="AB92" s="24"/>
      <c r="AC92" s="15"/>
      <c r="AD92" s="15"/>
      <c r="AE92" s="15"/>
      <c r="AF92" s="19"/>
      <c r="AG92" s="24"/>
    </row>
    <row r="93" spans="3:33" x14ac:dyDescent="0.35">
      <c r="C93" s="7" t="s">
        <v>156</v>
      </c>
      <c r="E93" s="16" t="s">
        <v>274</v>
      </c>
      <c r="F93" s="16" t="s">
        <v>187</v>
      </c>
      <c r="G93" s="16" t="s">
        <v>163</v>
      </c>
      <c r="H93" t="s">
        <v>195</v>
      </c>
      <c r="I93" s="8">
        <v>161</v>
      </c>
      <c r="J93" s="8">
        <v>152</v>
      </c>
      <c r="K93" s="8">
        <v>146</v>
      </c>
      <c r="L93" s="8"/>
      <c r="M93" s="15">
        <f t="shared" si="149"/>
        <v>4.8596438273468157E-2</v>
      </c>
      <c r="N93" s="15">
        <f t="shared" si="150"/>
        <v>4.9334631613112627E-2</v>
      </c>
      <c r="O93" s="15">
        <f t="shared" si="151"/>
        <v>5.4620276842499066E-2</v>
      </c>
      <c r="P93" s="19">
        <f t="shared" si="159"/>
        <v>5.0850448909693285E-2</v>
      </c>
      <c r="Q93" s="19"/>
      <c r="R93" s="15">
        <f t="shared" si="152"/>
        <v>4.8906439854191984E-2</v>
      </c>
      <c r="S93" s="15">
        <f t="shared" si="153"/>
        <v>4.9286640726329441E-2</v>
      </c>
      <c r="T93" s="15">
        <f t="shared" si="154"/>
        <v>5.3284671532846717E-2</v>
      </c>
      <c r="U93" s="19">
        <f t="shared" si="160"/>
        <v>5.0492584037789383E-2</v>
      </c>
      <c r="V93" s="10" t="str">
        <f t="shared" si="155"/>
        <v>FTSRegulatedOperating Income</v>
      </c>
      <c r="W93" s="10" t="str">
        <f t="shared" si="156"/>
        <v>FTSElectricRegulatedOperating Income</v>
      </c>
      <c r="AB93" s="24"/>
      <c r="AC93" s="15"/>
      <c r="AD93" s="15"/>
      <c r="AE93" s="15"/>
      <c r="AF93" s="19"/>
      <c r="AG93" s="24"/>
    </row>
    <row r="94" spans="3:33" x14ac:dyDescent="0.35">
      <c r="C94" s="7" t="s">
        <v>156</v>
      </c>
      <c r="E94" s="16" t="s">
        <v>275</v>
      </c>
      <c r="F94" s="16" t="s">
        <v>187</v>
      </c>
      <c r="G94" s="16" t="s">
        <v>163</v>
      </c>
      <c r="H94" t="s">
        <v>195</v>
      </c>
      <c r="I94" s="8">
        <v>275</v>
      </c>
      <c r="J94" s="8">
        <v>257</v>
      </c>
      <c r="K94" s="8">
        <v>235</v>
      </c>
      <c r="L94" s="8"/>
      <c r="M94" s="15">
        <f t="shared" si="149"/>
        <v>8.3006338665861754E-2</v>
      </c>
      <c r="N94" s="15">
        <f t="shared" si="150"/>
        <v>8.3414475819539105E-2</v>
      </c>
      <c r="O94" s="15">
        <f t="shared" si="151"/>
        <v>8.7916199027310141E-2</v>
      </c>
      <c r="P94" s="19">
        <f t="shared" si="159"/>
        <v>8.4779004504236991E-2</v>
      </c>
      <c r="Q94" s="19"/>
      <c r="R94" s="15">
        <f t="shared" si="152"/>
        <v>8.3535844471445936E-2</v>
      </c>
      <c r="S94" s="15">
        <f t="shared" si="153"/>
        <v>8.3333333333333329E-2</v>
      </c>
      <c r="T94" s="15">
        <f t="shared" si="154"/>
        <v>8.576642335766424E-2</v>
      </c>
      <c r="U94" s="19">
        <f t="shared" si="160"/>
        <v>8.4211867054147849E-2</v>
      </c>
      <c r="V94" s="10" t="str">
        <f t="shared" si="155"/>
        <v>FTSRegulatedOperating Income</v>
      </c>
      <c r="W94" s="10" t="str">
        <f t="shared" si="156"/>
        <v>FTSElectricRegulatedOperating Income</v>
      </c>
      <c r="AB94" s="24"/>
      <c r="AC94" s="15"/>
      <c r="AD94" s="15"/>
      <c r="AE94" s="15"/>
      <c r="AF94" s="19"/>
      <c r="AG94" s="24"/>
    </row>
    <row r="95" spans="3:33" x14ac:dyDescent="0.35">
      <c r="C95" s="7" t="s">
        <v>156</v>
      </c>
      <c r="E95" s="16" t="s">
        <v>276</v>
      </c>
      <c r="F95" s="16" t="s">
        <v>161</v>
      </c>
      <c r="G95" s="16" t="s">
        <v>192</v>
      </c>
      <c r="H95" t="s">
        <v>195</v>
      </c>
      <c r="I95" s="8">
        <v>-21</v>
      </c>
      <c r="J95" s="8">
        <v>3</v>
      </c>
      <c r="K95" s="8">
        <v>89</v>
      </c>
      <c r="L95" s="8"/>
      <c r="M95" s="15" t="str">
        <f t="shared" si="149"/>
        <v>n/a</v>
      </c>
      <c r="N95" s="15" t="str">
        <f t="shared" si="150"/>
        <v>n/a</v>
      </c>
      <c r="O95" s="15" t="str">
        <f t="shared" si="151"/>
        <v>n/a</v>
      </c>
      <c r="P95" s="19" t="str">
        <f t="shared" si="159"/>
        <v>n/a</v>
      </c>
      <c r="Q95" s="19"/>
      <c r="R95" s="15">
        <f t="shared" si="152"/>
        <v>-6.3791008505467801E-3</v>
      </c>
      <c r="S95" s="15">
        <f t="shared" si="153"/>
        <v>9.727626459143969E-4</v>
      </c>
      <c r="T95" s="15">
        <f t="shared" si="154"/>
        <v>3.2481751824817516E-2</v>
      </c>
      <c r="U95" s="19">
        <f t="shared" si="160"/>
        <v>9.0251378733950446E-3</v>
      </c>
      <c r="V95" s="10" t="str">
        <f t="shared" si="155"/>
        <v>FTSUnregulatedOperating Income</v>
      </c>
      <c r="W95" s="10" t="str">
        <f t="shared" si="156"/>
        <v>FTSOtherUnregulatedOperating Income</v>
      </c>
      <c r="AB95" s="24"/>
      <c r="AC95" s="15"/>
      <c r="AD95" s="15"/>
      <c r="AE95" s="15"/>
      <c r="AF95" s="19"/>
      <c r="AG95" s="24"/>
    </row>
    <row r="96" spans="3:33" x14ac:dyDescent="0.35">
      <c r="C96" s="7" t="s">
        <v>156</v>
      </c>
      <c r="E96" s="16" t="s">
        <v>277</v>
      </c>
      <c r="F96" s="16" t="s">
        <v>161</v>
      </c>
      <c r="G96" s="16" t="s">
        <v>192</v>
      </c>
      <c r="H96" t="s">
        <v>195</v>
      </c>
      <c r="I96" s="8">
        <v>0</v>
      </c>
      <c r="J96" s="8">
        <v>0</v>
      </c>
      <c r="K96" s="8">
        <v>0</v>
      </c>
      <c r="L96" s="8"/>
      <c r="M96" s="15" t="str">
        <f t="shared" si="149"/>
        <v>n/a</v>
      </c>
      <c r="N96" s="15" t="str">
        <f t="shared" si="150"/>
        <v>n/a</v>
      </c>
      <c r="O96" s="15" t="str">
        <f t="shared" si="151"/>
        <v>n/a</v>
      </c>
      <c r="P96" s="19" t="str">
        <f t="shared" si="159"/>
        <v>n/a</v>
      </c>
      <c r="Q96" s="19"/>
      <c r="R96" s="15">
        <f t="shared" si="152"/>
        <v>0</v>
      </c>
      <c r="S96" s="15">
        <f t="shared" si="153"/>
        <v>0</v>
      </c>
      <c r="T96" s="15">
        <f t="shared" si="154"/>
        <v>0</v>
      </c>
      <c r="U96" s="19">
        <f t="shared" si="160"/>
        <v>0</v>
      </c>
      <c r="V96" s="10" t="str">
        <f t="shared" si="155"/>
        <v>FTSUnregulatedOperating Income</v>
      </c>
      <c r="W96" s="10" t="str">
        <f t="shared" si="156"/>
        <v>FTSOtherUnregulatedOperating Income</v>
      </c>
      <c r="AB96" s="24"/>
      <c r="AC96" s="15"/>
      <c r="AD96" s="15"/>
      <c r="AE96" s="15"/>
      <c r="AF96" s="19"/>
      <c r="AG96" s="24"/>
    </row>
    <row r="97" spans="2:33" x14ac:dyDescent="0.35">
      <c r="C97" s="7" t="s">
        <v>156</v>
      </c>
      <c r="E97" s="16" t="s">
        <v>278</v>
      </c>
      <c r="F97" s="16" t="s">
        <v>161</v>
      </c>
      <c r="G97" s="16" t="s">
        <v>192</v>
      </c>
      <c r="H97" t="s">
        <v>195</v>
      </c>
      <c r="I97" s="8">
        <v>0</v>
      </c>
      <c r="J97" s="8">
        <v>0</v>
      </c>
      <c r="K97" s="8">
        <v>-22</v>
      </c>
      <c r="L97" s="8"/>
      <c r="M97" s="15" t="str">
        <f t="shared" si="149"/>
        <v>n/a</v>
      </c>
      <c r="N97" s="15" t="str">
        <f t="shared" si="150"/>
        <v>n/a</v>
      </c>
      <c r="O97" s="15" t="str">
        <f t="shared" si="151"/>
        <v>n/a</v>
      </c>
      <c r="P97" s="19" t="str">
        <f t="shared" si="159"/>
        <v>n/a</v>
      </c>
      <c r="Q97" s="19"/>
      <c r="R97" s="15">
        <f t="shared" si="152"/>
        <v>0</v>
      </c>
      <c r="S97" s="15">
        <f t="shared" si="153"/>
        <v>0</v>
      </c>
      <c r="T97" s="15">
        <f t="shared" si="154"/>
        <v>-8.0291970802919711E-3</v>
      </c>
      <c r="U97" s="19">
        <f t="shared" si="160"/>
        <v>-2.6763990267639902E-3</v>
      </c>
      <c r="V97" s="10" t="str">
        <f t="shared" si="155"/>
        <v>FTSUnregulatedOperating Income</v>
      </c>
      <c r="W97" s="10" t="str">
        <f t="shared" si="156"/>
        <v>FTSOtherUnregulatedOperating Income</v>
      </c>
      <c r="AB97" s="24"/>
      <c r="AC97" s="15"/>
      <c r="AD97" s="15"/>
      <c r="AE97" s="15"/>
      <c r="AF97" s="19"/>
      <c r="AG97" s="24"/>
    </row>
    <row r="98" spans="2:33" x14ac:dyDescent="0.35"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 s="7"/>
      <c r="AB98"/>
      <c r="AC98"/>
      <c r="AD98"/>
      <c r="AE98"/>
      <c r="AF98"/>
      <c r="AG98"/>
    </row>
    <row r="99" spans="2:33" s="5" customFormat="1" x14ac:dyDescent="0.35">
      <c r="B99" s="5" t="s">
        <v>157</v>
      </c>
      <c r="C99" s="9"/>
      <c r="E99" s="5" t="s">
        <v>194</v>
      </c>
      <c r="F99" s="5" t="s">
        <v>198</v>
      </c>
      <c r="G99" s="5" t="s">
        <v>191</v>
      </c>
      <c r="H99" s="5" t="s">
        <v>193</v>
      </c>
      <c r="I99" s="9">
        <v>2024</v>
      </c>
      <c r="J99" s="9">
        <v>2023</v>
      </c>
      <c r="K99" s="9">
        <v>2022</v>
      </c>
      <c r="L99" s="9"/>
      <c r="M99" s="25">
        <f>I99</f>
        <v>2024</v>
      </c>
      <c r="N99" s="25">
        <f t="shared" ref="N99" si="161">J99</f>
        <v>2023</v>
      </c>
      <c r="O99" s="25">
        <f t="shared" ref="O99" si="162">K99</f>
        <v>2022</v>
      </c>
      <c r="P99" s="26" t="s">
        <v>197</v>
      </c>
      <c r="Q99" s="26"/>
      <c r="R99" s="25">
        <f>M99</f>
        <v>2024</v>
      </c>
      <c r="S99" s="25">
        <f t="shared" ref="S99" si="163">N99</f>
        <v>2023</v>
      </c>
      <c r="T99" s="25">
        <f t="shared" ref="T99" si="164">O99</f>
        <v>2022</v>
      </c>
      <c r="U99" s="26" t="s">
        <v>197</v>
      </c>
      <c r="V99" s="12"/>
      <c r="W99" s="12"/>
      <c r="X99" s="12"/>
      <c r="Y99" s="12"/>
      <c r="Z99" s="25" t="s">
        <v>248</v>
      </c>
      <c r="AB99" s="27"/>
      <c r="AC99" s="25">
        <f>R99</f>
        <v>2024</v>
      </c>
      <c r="AD99" s="25">
        <f t="shared" ref="AD99" si="165">S99</f>
        <v>2023</v>
      </c>
      <c r="AE99" s="25">
        <f t="shared" ref="AE99" si="166">T99</f>
        <v>2022</v>
      </c>
      <c r="AF99" s="26" t="s">
        <v>197</v>
      </c>
      <c r="AG99" s="27"/>
    </row>
    <row r="100" spans="2:33" x14ac:dyDescent="0.35">
      <c r="B100" t="s">
        <v>225</v>
      </c>
      <c r="C100" s="7" t="s">
        <v>158</v>
      </c>
      <c r="E100" s="16" t="s">
        <v>267</v>
      </c>
      <c r="F100" s="16" t="s">
        <v>187</v>
      </c>
      <c r="G100" s="16" t="s">
        <v>163</v>
      </c>
      <c r="H100" t="s">
        <v>186</v>
      </c>
      <c r="I100" s="8">
        <v>2269</v>
      </c>
      <c r="J100" s="8">
        <v>2214</v>
      </c>
      <c r="K100" s="8">
        <v>2077</v>
      </c>
      <c r="L100" s="8"/>
      <c r="M100" s="15">
        <f t="shared" ref="M100:O102" si="167">IFERROR(IF($G100="Regulated", I100/SUMIFS(I:I,$C:$C,$C100,$G:$G,"Regulated", $H:$H, $H100), "n/a"), "n/a")</f>
        <v>0.26871151113216485</v>
      </c>
      <c r="N100" s="15">
        <f t="shared" si="167"/>
        <v>0.28399179066187791</v>
      </c>
      <c r="O100" s="15">
        <f t="shared" si="167"/>
        <v>0.26845030373529793</v>
      </c>
      <c r="P100" s="19">
        <f>IFERROR(AVERAGE(M100:O100), "n/a")</f>
        <v>0.27371786850978025</v>
      </c>
      <c r="Q100" s="19"/>
      <c r="R100" s="15">
        <f t="shared" ref="R100:T102" si="168">IFERROR(I100/SUMIFS(I:I,$C:$C,$C100, $H:$H, $H100), "n/a")</f>
        <v>0.26744460160301742</v>
      </c>
      <c r="S100" s="15">
        <f t="shared" si="168"/>
        <v>0.28225395206527282</v>
      </c>
      <c r="T100" s="15">
        <f t="shared" si="168"/>
        <v>0.26696658097686377</v>
      </c>
      <c r="U100" s="19">
        <f>IFERROR(AVERAGE(R100:T100), "n/a")</f>
        <v>0.27222171154838465</v>
      </c>
      <c r="V100" s="10" t="str">
        <f>C100&amp;G100&amp;H100</f>
        <v>HRegulatedRevenue</v>
      </c>
      <c r="W100" s="10" t="str">
        <f>C100&amp;F100&amp;G100&amp;H100</f>
        <v>HElectricRegulatedRevenue</v>
      </c>
      <c r="Y100" s="10" t="s">
        <v>279</v>
      </c>
      <c r="Z100" s="28">
        <f>SUMIF(W:W, Y100, U:U)/SUMIF(V:V, C100&amp;G100&amp;H100, U:U)</f>
        <v>1</v>
      </c>
      <c r="AB100" s="24" t="s">
        <v>201</v>
      </c>
      <c r="AC100" s="15">
        <f>IFERROR(SUMIFS(I:I,$C:$C,$C100, $G:$G, "Regulated", $H:$H, "Revenue")/SUMIFS(I:I,$C:$C,$C100, $H:$H, "Revenue"), "n/a")</f>
        <v>0.99528524280999531</v>
      </c>
      <c r="AD100" s="15">
        <f>IFERROR(SUMIFS(J:J,$C:$C,$C100, $G:$G, "Regulated", $H:$H, "Revenue")/SUMIFS(J:J,$C:$C,$C100, $H:$H, "Revenue"), "n/a")</f>
        <v>0.99388067312595618</v>
      </c>
      <c r="AE100" s="15">
        <f>IFERROR(SUMIFS(K:K,$C:$C,$C100, $G:$G, "Regulated", $H:$H, "Revenue")/SUMIFS(K:K,$C:$C,$C100, $H:$H, "Revenue"), "n/a")</f>
        <v>0.99447300771208225</v>
      </c>
      <c r="AF100" s="19">
        <f>IFERROR(AVERAGE(AC100:AE100), "n/a")</f>
        <v>0.99454630788267784</v>
      </c>
      <c r="AG100" s="24" t="str">
        <f>C100&amp;AB100</f>
        <v>HRegulatedRevenue</v>
      </c>
    </row>
    <row r="101" spans="2:33" x14ac:dyDescent="0.35">
      <c r="B101" t="s">
        <v>281</v>
      </c>
      <c r="C101" s="7" t="s">
        <v>158</v>
      </c>
      <c r="E101" s="16" t="s">
        <v>268</v>
      </c>
      <c r="F101" s="16" t="s">
        <v>187</v>
      </c>
      <c r="G101" s="16" t="s">
        <v>163</v>
      </c>
      <c r="H101" t="s">
        <v>186</v>
      </c>
      <c r="I101" s="8">
        <v>6175</v>
      </c>
      <c r="J101" s="8">
        <v>5582</v>
      </c>
      <c r="K101" s="8">
        <v>5660</v>
      </c>
      <c r="L101" s="8"/>
      <c r="M101" s="15">
        <f t="shared" si="167"/>
        <v>0.73128848886783515</v>
      </c>
      <c r="N101" s="15">
        <f t="shared" si="167"/>
        <v>0.71600820933812215</v>
      </c>
      <c r="O101" s="15">
        <f t="shared" si="167"/>
        <v>0.73154969626470212</v>
      </c>
      <c r="P101" s="19">
        <f t="shared" ref="P101:P102" si="169">IFERROR(AVERAGE(M101:O101), "n/a")</f>
        <v>0.72628213149021981</v>
      </c>
      <c r="Q101" s="19"/>
      <c r="R101" s="15">
        <f t="shared" si="168"/>
        <v>0.72784064120697789</v>
      </c>
      <c r="S101" s="15">
        <f t="shared" si="168"/>
        <v>0.71162672106068336</v>
      </c>
      <c r="T101" s="15">
        <f t="shared" si="168"/>
        <v>0.72750642673521848</v>
      </c>
      <c r="U101" s="19">
        <f t="shared" ref="U101:U102" si="170">IFERROR(AVERAGE(R101:T101), "n/a")</f>
        <v>0.72232459633429313</v>
      </c>
      <c r="V101" s="10" t="str">
        <f t="shared" ref="V101:V102" si="171">C101&amp;G101&amp;H101</f>
        <v>HRegulatedRevenue</v>
      </c>
      <c r="W101" s="10" t="str">
        <f t="shared" ref="W101:W102" si="172">C101&amp;F101&amp;G101&amp;H101</f>
        <v>HElectricRegulatedRevenue</v>
      </c>
      <c r="Z101" s="28"/>
      <c r="AB101" s="24" t="s">
        <v>202</v>
      </c>
      <c r="AC101" s="15">
        <f>IFERROR(SUMIFS(I:I,$C:$C,$C101, $G:$G, "Unregulated", $H:$H, "Revenue")/SUMIFS(I:I,$C:$C,$C101, $H:$H, "Revenue"), "n/a")</f>
        <v>4.7147571900047151E-3</v>
      </c>
      <c r="AD101" s="15">
        <f>IFERROR(SUMIFS(J:J,$C:$C,$C101, $G:$G, "Unregulated", $H:$H, "Revenue")/SUMIFS(J:J,$C:$C,$C101, $H:$H, "Revenue"), "n/a")</f>
        <v>6.1193268740438551E-3</v>
      </c>
      <c r="AE101" s="15">
        <f>IFERROR(SUMIFS(K:K,$C:$C,$C101, $G:$G, "Unregulated", $H:$H, "Revenue")/SUMIFS(K:K,$C:$C,$C101, $H:$H, "Revenue"), "n/a")</f>
        <v>5.5269922879177379E-3</v>
      </c>
      <c r="AF101" s="19">
        <f>IFERROR(AVERAGE(AC101:AE101), "n/a")</f>
        <v>5.4536921173221021E-3</v>
      </c>
      <c r="AG101" s="24" t="str">
        <f>C101&amp;AB101</f>
        <v>HUnregulatedRevenue</v>
      </c>
    </row>
    <row r="102" spans="2:33" x14ac:dyDescent="0.35">
      <c r="B102" t="s">
        <v>282</v>
      </c>
      <c r="C102" s="7" t="s">
        <v>158</v>
      </c>
      <c r="E102" s="16" t="s">
        <v>189</v>
      </c>
      <c r="F102" s="16" t="s">
        <v>161</v>
      </c>
      <c r="G102" s="16" t="s">
        <v>192</v>
      </c>
      <c r="H102" t="s">
        <v>186</v>
      </c>
      <c r="I102" s="8">
        <v>40</v>
      </c>
      <c r="J102" s="8">
        <v>48</v>
      </c>
      <c r="K102" s="8">
        <v>43</v>
      </c>
      <c r="L102" s="8"/>
      <c r="M102" s="15" t="str">
        <f t="shared" si="167"/>
        <v>n/a</v>
      </c>
      <c r="N102" s="15" t="str">
        <f t="shared" si="167"/>
        <v>n/a</v>
      </c>
      <c r="O102" s="15" t="str">
        <f t="shared" si="167"/>
        <v>n/a</v>
      </c>
      <c r="P102" s="19" t="str">
        <f t="shared" si="169"/>
        <v>n/a</v>
      </c>
      <c r="Q102" s="19"/>
      <c r="R102" s="15">
        <f t="shared" si="168"/>
        <v>4.7147571900047151E-3</v>
      </c>
      <c r="S102" s="15">
        <f t="shared" si="168"/>
        <v>6.1193268740438551E-3</v>
      </c>
      <c r="T102" s="15">
        <f t="shared" si="168"/>
        <v>5.5269922879177379E-3</v>
      </c>
      <c r="U102" s="19">
        <f t="shared" si="170"/>
        <v>5.4536921173221021E-3</v>
      </c>
      <c r="V102" s="10" t="str">
        <f t="shared" si="171"/>
        <v>HUnregulatedRevenue</v>
      </c>
      <c r="W102" s="10" t="str">
        <f t="shared" si="172"/>
        <v>HOtherUnregulatedRevenue</v>
      </c>
      <c r="Z102" s="28"/>
      <c r="AB102" s="24"/>
      <c r="AC102" s="15"/>
      <c r="AD102" s="15"/>
      <c r="AE102" s="15"/>
      <c r="AF102" s="19"/>
      <c r="AG102" s="24"/>
    </row>
    <row r="103" spans="2:33" x14ac:dyDescent="0.35">
      <c r="M103" s="15"/>
      <c r="N103" s="15"/>
      <c r="O103" s="15"/>
      <c r="P103" s="19"/>
      <c r="Q103" s="19"/>
      <c r="R103" s="15"/>
      <c r="S103" s="15"/>
      <c r="T103" s="15"/>
      <c r="U103" s="19"/>
      <c r="AB103" s="24"/>
      <c r="AC103" s="15"/>
      <c r="AD103" s="15"/>
      <c r="AE103" s="15"/>
      <c r="AF103" s="19"/>
      <c r="AG103" s="24"/>
    </row>
    <row r="104" spans="2:33" x14ac:dyDescent="0.35">
      <c r="E104" s="5" t="s">
        <v>194</v>
      </c>
      <c r="F104" s="5" t="s">
        <v>198</v>
      </c>
      <c r="G104" s="5" t="s">
        <v>191</v>
      </c>
      <c r="H104" s="5" t="s">
        <v>193</v>
      </c>
      <c r="I104" s="9">
        <v>2024</v>
      </c>
      <c r="J104" s="9">
        <v>2023</v>
      </c>
      <c r="K104" s="9">
        <v>2022</v>
      </c>
      <c r="L104" s="9"/>
      <c r="M104" s="14">
        <f>I104</f>
        <v>2024</v>
      </c>
      <c r="N104" s="14">
        <f t="shared" ref="N104" si="173">J104</f>
        <v>2023</v>
      </c>
      <c r="O104" s="14">
        <f t="shared" ref="O104" si="174">K104</f>
        <v>2022</v>
      </c>
      <c r="P104" s="18" t="s">
        <v>197</v>
      </c>
      <c r="Q104" s="18"/>
      <c r="R104" s="14">
        <f>M104</f>
        <v>2024</v>
      </c>
      <c r="S104" s="14">
        <f t="shared" ref="S104" si="175">N104</f>
        <v>2023</v>
      </c>
      <c r="T104" s="14">
        <f t="shared" ref="T104" si="176">O104</f>
        <v>2022</v>
      </c>
      <c r="U104" s="18" t="s">
        <v>197</v>
      </c>
      <c r="Y104" s="12"/>
      <c r="Z104" s="25" t="s">
        <v>248</v>
      </c>
      <c r="AC104" s="14">
        <f>R104</f>
        <v>2024</v>
      </c>
      <c r="AD104" s="14">
        <f t="shared" ref="AD104" si="177">S104</f>
        <v>2023</v>
      </c>
      <c r="AE104" s="14">
        <f t="shared" ref="AE104" si="178">T104</f>
        <v>2022</v>
      </c>
      <c r="AF104" s="18" t="s">
        <v>197</v>
      </c>
    </row>
    <row r="105" spans="2:33" x14ac:dyDescent="0.35">
      <c r="C105" s="7" t="s">
        <v>158</v>
      </c>
      <c r="E105" s="16" t="s">
        <v>267</v>
      </c>
      <c r="F105" s="16" t="s">
        <v>187</v>
      </c>
      <c r="G105" s="16" t="s">
        <v>163</v>
      </c>
      <c r="H105" t="s">
        <v>195</v>
      </c>
      <c r="I105" s="8">
        <v>1240</v>
      </c>
      <c r="J105" s="8">
        <v>1189</v>
      </c>
      <c r="K105" s="8">
        <v>1123</v>
      </c>
      <c r="L105" s="8"/>
      <c r="M105" s="15">
        <f t="shared" ref="M105:O107" si="179">IFERROR(IF($G105="Regulated", I105/SUMIFS(I:I,$C:$C,$C105,$G:$G,"Regulated", $H:$H, $H105), "n/a"), "n/a")</f>
        <v>0.60517325524646171</v>
      </c>
      <c r="N105" s="15">
        <f t="shared" si="179"/>
        <v>0.62777191129883847</v>
      </c>
      <c r="O105" s="15">
        <f t="shared" si="179"/>
        <v>0.59989316239316237</v>
      </c>
      <c r="P105" s="19">
        <f>IFERROR(AVERAGE(M105:O105), "n/a")</f>
        <v>0.61094610964615415</v>
      </c>
      <c r="Q105" s="19"/>
      <c r="R105" s="15">
        <f t="shared" ref="R105:T107" si="180">IFERROR(I105/SUMIFS(I:I,$C:$C,$C105, $H:$H, $H105), "n/a")</f>
        <v>0.63040162684290801</v>
      </c>
      <c r="S105" s="15">
        <f t="shared" si="180"/>
        <v>0.64549402823018454</v>
      </c>
      <c r="T105" s="15">
        <f t="shared" si="180"/>
        <v>0.61299126637554591</v>
      </c>
      <c r="U105" s="19">
        <f>IFERROR(AVERAGE(R105:T105), "n/a")</f>
        <v>0.62962897381621274</v>
      </c>
      <c r="V105" s="10" t="str">
        <f>C105&amp;G105&amp;H105</f>
        <v>HRegulatedOperating Income</v>
      </c>
      <c r="W105" s="10" t="str">
        <f>C105&amp;F105&amp;G105&amp;H105</f>
        <v>HElectricRegulatedOperating Income</v>
      </c>
      <c r="Y105" s="10" t="s">
        <v>280</v>
      </c>
      <c r="Z105" s="28">
        <f>IFERROR(SUMIF(W:W, Y105, U:U)/SUMIF(V:V, C105&amp;G105&amp;H105, U:U), "n/a")</f>
        <v>1</v>
      </c>
      <c r="AB105" s="24" t="s">
        <v>203</v>
      </c>
      <c r="AC105" s="15">
        <f>IFERROR(SUMIFS(I:I,$C:$C,$C105, $G:$G, "Regulated", $H:$H, "Operating Income")/SUMIFS(I:I,$C:$C,$C105, $H:$H, "Operating Income"), "n/a")</f>
        <v>1.041687849517031</v>
      </c>
      <c r="AD105" s="15">
        <f>IFERROR(SUMIFS(J:J,$C:$C,$C105, $G:$G, "Regulated", $H:$H, "Operating Income")/SUMIFS(J:J,$C:$C,$C105, $H:$H, "Operating Income"), "n/a")</f>
        <v>1.0282301845819761</v>
      </c>
      <c r="AE105" s="15">
        <f>IFERROR(SUMIFS(K:K,$C:$C,$C105, $G:$G, "Regulated", $H:$H, "Operating Income")/SUMIFS(K:K,$C:$C,$C105, $H:$H, "Operating Income"), "n/a")</f>
        <v>1.0218340611353711</v>
      </c>
      <c r="AF105" s="19">
        <f>IFERROR(AVERAGE(AC105:AE105), "n/a")</f>
        <v>1.0305840317447927</v>
      </c>
      <c r="AG105" s="24" t="str">
        <f>C105&amp;AB105</f>
        <v>HRegulatedOperating Income</v>
      </c>
    </row>
    <row r="106" spans="2:33" x14ac:dyDescent="0.35">
      <c r="C106" s="7" t="s">
        <v>158</v>
      </c>
      <c r="E106" s="16" t="s">
        <v>268</v>
      </c>
      <c r="F106" s="16" t="s">
        <v>187</v>
      </c>
      <c r="G106" s="16" t="s">
        <v>163</v>
      </c>
      <c r="H106" t="s">
        <v>195</v>
      </c>
      <c r="I106" s="8">
        <v>809</v>
      </c>
      <c r="J106" s="8">
        <v>705</v>
      </c>
      <c r="K106" s="8">
        <v>749</v>
      </c>
      <c r="L106" s="8"/>
      <c r="M106" s="15">
        <f t="shared" si="179"/>
        <v>0.39482674475353829</v>
      </c>
      <c r="N106" s="15">
        <f t="shared" si="179"/>
        <v>0.37222808870116159</v>
      </c>
      <c r="O106" s="15">
        <f t="shared" si="179"/>
        <v>0.40010683760683763</v>
      </c>
      <c r="P106" s="19">
        <f t="shared" ref="P106:P107" si="181">IFERROR(AVERAGE(M106:O106), "n/a")</f>
        <v>0.38905389035384585</v>
      </c>
      <c r="Q106" s="19"/>
      <c r="R106" s="15">
        <f t="shared" si="180"/>
        <v>0.41128622267412301</v>
      </c>
      <c r="S106" s="15">
        <f t="shared" si="180"/>
        <v>0.38273615635179153</v>
      </c>
      <c r="T106" s="15">
        <f t="shared" si="180"/>
        <v>0.40884279475982532</v>
      </c>
      <c r="U106" s="19">
        <f t="shared" ref="U106:U107" si="182">IFERROR(AVERAGE(R106:T106), "n/a")</f>
        <v>0.40095505792857994</v>
      </c>
      <c r="V106" s="10" t="str">
        <f t="shared" ref="V106:V107" si="183">C106&amp;G106&amp;H106</f>
        <v>HRegulatedOperating Income</v>
      </c>
      <c r="W106" s="10" t="str">
        <f t="shared" ref="W106:W107" si="184">C106&amp;F106&amp;G106&amp;H106</f>
        <v>HElectricRegulatedOperating Income</v>
      </c>
      <c r="Z106" s="28"/>
      <c r="AB106" s="24" t="s">
        <v>204</v>
      </c>
      <c r="AC106" s="15">
        <f>IFERROR(SUMIFS(I:I,$C:$C,$C106, $G:$G, "Unregulated", $H:$H, "Operating Income")/SUMIFS(I:I,$C:$C,$C106, $H:$H, "Operating Income"), "n/a")</f>
        <v>-4.1687849517031014E-2</v>
      </c>
      <c r="AD106" s="15">
        <f>IFERROR(SUMIFS(J:J,$C:$C,$C106, $G:$G, "Unregulated", $H:$H, "Operating Income")/SUMIFS(J:J,$C:$C,$C106, $H:$H, "Operating Income"), "n/a")</f>
        <v>-2.8230184581976112E-2</v>
      </c>
      <c r="AE106" s="15">
        <f>IFERROR(SUMIFS(K:K,$C:$C,$C106, $G:$G, "Unregulated", $H:$H, "Operating Income")/SUMIFS(K:K,$C:$C,$C106, $H:$H, "Operating Income"), "n/a")</f>
        <v>-2.1834061135371178E-2</v>
      </c>
      <c r="AF106" s="19">
        <f>IFERROR(AVERAGE(AC106:AE106), "n/a")</f>
        <v>-3.0584031744792767E-2</v>
      </c>
      <c r="AG106" s="24" t="str">
        <f>C106&amp;AB106</f>
        <v>HUnregulatedOperating Income</v>
      </c>
    </row>
    <row r="107" spans="2:33" x14ac:dyDescent="0.35">
      <c r="C107" s="7" t="s">
        <v>158</v>
      </c>
      <c r="E107" s="16" t="s">
        <v>189</v>
      </c>
      <c r="F107" s="16" t="s">
        <v>161</v>
      </c>
      <c r="G107" s="16" t="s">
        <v>192</v>
      </c>
      <c r="H107" t="s">
        <v>195</v>
      </c>
      <c r="I107" s="8">
        <v>-82</v>
      </c>
      <c r="J107" s="8">
        <v>-52</v>
      </c>
      <c r="K107" s="8">
        <v>-40</v>
      </c>
      <c r="L107" s="8"/>
      <c r="M107" s="15" t="str">
        <f t="shared" si="179"/>
        <v>n/a</v>
      </c>
      <c r="N107" s="15" t="str">
        <f t="shared" si="179"/>
        <v>n/a</v>
      </c>
      <c r="O107" s="15" t="str">
        <f t="shared" si="179"/>
        <v>n/a</v>
      </c>
      <c r="P107" s="19" t="str">
        <f t="shared" si="181"/>
        <v>n/a</v>
      </c>
      <c r="Q107" s="19"/>
      <c r="R107" s="15">
        <f t="shared" si="180"/>
        <v>-4.1687849517031014E-2</v>
      </c>
      <c r="S107" s="15">
        <f t="shared" si="180"/>
        <v>-2.8230184581976112E-2</v>
      </c>
      <c r="T107" s="15">
        <f t="shared" si="180"/>
        <v>-2.1834061135371178E-2</v>
      </c>
      <c r="U107" s="19">
        <f t="shared" si="182"/>
        <v>-3.0584031744792767E-2</v>
      </c>
      <c r="V107" s="10" t="str">
        <f t="shared" si="183"/>
        <v>HUnregulatedOperating Income</v>
      </c>
      <c r="W107" s="10" t="str">
        <f t="shared" si="184"/>
        <v>HOtherUnregulatedOperating Income</v>
      </c>
      <c r="Z107" s="28"/>
      <c r="AB107" s="24"/>
      <c r="AC107" s="15"/>
      <c r="AD107" s="15"/>
      <c r="AE107" s="15"/>
      <c r="AF107" s="19"/>
      <c r="AG107" s="24"/>
    </row>
    <row r="109" spans="2:33" s="5" customFormat="1" x14ac:dyDescent="0.35">
      <c r="B109" s="5" t="s">
        <v>159</v>
      </c>
      <c r="C109" s="9"/>
      <c r="E109" s="5" t="s">
        <v>194</v>
      </c>
      <c r="F109" s="5" t="s">
        <v>198</v>
      </c>
      <c r="G109" s="5" t="s">
        <v>191</v>
      </c>
      <c r="H109" s="5" t="s">
        <v>193</v>
      </c>
      <c r="I109" s="9">
        <v>2024</v>
      </c>
      <c r="J109" s="9">
        <v>2023</v>
      </c>
      <c r="K109" s="9">
        <v>2022</v>
      </c>
      <c r="L109" s="9"/>
      <c r="M109" s="25">
        <f>I109</f>
        <v>2024</v>
      </c>
      <c r="N109" s="25">
        <f t="shared" ref="N109" si="185">J109</f>
        <v>2023</v>
      </c>
      <c r="O109" s="25">
        <f t="shared" ref="O109" si="186">K109</f>
        <v>2022</v>
      </c>
      <c r="P109" s="26" t="s">
        <v>197</v>
      </c>
      <c r="Q109" s="26"/>
      <c r="R109" s="25">
        <f>M109</f>
        <v>2024</v>
      </c>
      <c r="S109" s="25">
        <f t="shared" ref="S109" si="187">N109</f>
        <v>2023</v>
      </c>
      <c r="T109" s="25">
        <f t="shared" ref="T109" si="188">O109</f>
        <v>2022</v>
      </c>
      <c r="U109" s="26" t="s">
        <v>197</v>
      </c>
      <c r="V109" s="12"/>
      <c r="W109" s="12"/>
      <c r="X109" s="12"/>
      <c r="Y109" s="12"/>
      <c r="Z109" s="25" t="s">
        <v>248</v>
      </c>
      <c r="AB109" s="27"/>
      <c r="AC109" s="25">
        <f>R109</f>
        <v>2024</v>
      </c>
      <c r="AD109" s="25">
        <f t="shared" ref="AD109" si="189">S109</f>
        <v>2023</v>
      </c>
      <c r="AE109" s="25">
        <f t="shared" ref="AE109" si="190">T109</f>
        <v>2022</v>
      </c>
      <c r="AF109" s="26" t="s">
        <v>197</v>
      </c>
      <c r="AG109" s="27"/>
    </row>
    <row r="110" spans="2:33" x14ac:dyDescent="0.35">
      <c r="B110" t="s">
        <v>225</v>
      </c>
      <c r="C110" s="7" t="s">
        <v>160</v>
      </c>
      <c r="E110" s="16" t="s">
        <v>285</v>
      </c>
      <c r="F110" s="16" t="s">
        <v>164</v>
      </c>
      <c r="G110" s="16" t="s">
        <v>163</v>
      </c>
      <c r="H110" t="s">
        <v>186</v>
      </c>
      <c r="I110" s="8">
        <v>5600</v>
      </c>
      <c r="J110" s="8">
        <v>5173</v>
      </c>
      <c r="K110" s="8">
        <v>4764</v>
      </c>
      <c r="L110" s="8"/>
      <c r="M110" s="15">
        <f t="shared" ref="M110:O115" si="191">IFERROR(IF($G110="Regulated", I110/SUMIFS(I:I,$C:$C,$C110,$G:$G,"Regulated", $H:$H, $H110), "n/a"), "n/a")</f>
        <v>0.43719259895386059</v>
      </c>
      <c r="N110" s="15">
        <f t="shared" si="191"/>
        <v>0.34683204827355013</v>
      </c>
      <c r="O110" s="15">
        <f t="shared" si="191"/>
        <v>0.33900234825304204</v>
      </c>
      <c r="P110" s="19">
        <f>IFERROR(AVERAGE(M110:O110), "n/a")</f>
        <v>0.37434233182681759</v>
      </c>
      <c r="Q110" s="19"/>
      <c r="R110" s="15">
        <f t="shared" ref="R110:T115" si="192">IFERROR(I110/SUMIFS(I:I,$C:$C,$C110, $H:$H, $H110), "n/a")</f>
        <v>0.4066516592840026</v>
      </c>
      <c r="S110" s="15">
        <f t="shared" si="192"/>
        <v>0.32465168821388224</v>
      </c>
      <c r="T110" s="15">
        <f t="shared" si="192"/>
        <v>0.31808773452627365</v>
      </c>
      <c r="U110" s="19">
        <f>IFERROR(AVERAGE(R110:T110), "n/a")</f>
        <v>0.34979702734138618</v>
      </c>
      <c r="V110" s="10" t="str">
        <f t="shared" ref="V110:V114" si="193">C110&amp;G110&amp;H110</f>
        <v>TRPRegulatedRevenue</v>
      </c>
      <c r="W110" s="10" t="str">
        <f t="shared" ref="W110:W114" si="194">C110&amp;F110&amp;G110&amp;H110</f>
        <v>TRPGasRegulatedRevenue</v>
      </c>
      <c r="Y110" s="10" t="s">
        <v>290</v>
      </c>
      <c r="Z110" s="28">
        <f>SUMIF(W:W, Y110, U:U)/SUMIF(V:V, C110&amp;G110&amp;H110, U:U)</f>
        <v>0.87679868117251358</v>
      </c>
      <c r="AB110" s="24" t="s">
        <v>201</v>
      </c>
      <c r="AC110" s="15">
        <f>IFERROR(SUMIFS(I:I,$C:$C,$C110, $G:$G, "Regulated", $H:$H, "Revenue")/SUMIFS(I:I,$C:$C,$C110, $H:$H, "Revenue"), "n/a")</f>
        <v>0.93014305424442667</v>
      </c>
      <c r="AD110" s="15">
        <f>IFERROR(SUMIFS(J:J,$C:$C,$C110, $G:$G, "Regulated", $H:$H, "Revenue")/SUMIFS(J:J,$C:$C,$C110, $H:$H, "Revenue"), "n/a")</f>
        <v>0.93604870089117609</v>
      </c>
      <c r="AE110" s="15">
        <f>IFERROR(SUMIFS(K:K,$C:$C,$C110, $G:$G, "Regulated", $H:$H, "Revenue")/SUMIFS(K:K,$C:$C,$C110, $H:$H, "Revenue"), "n/a")</f>
        <v>0.93830540161581089</v>
      </c>
      <c r="AF110" s="19">
        <f>IFERROR(AVERAGE(AC110:AE110), "n/a")</f>
        <v>0.93483238558380455</v>
      </c>
      <c r="AG110" s="24" t="str">
        <f>C110&amp;AB110</f>
        <v>TRPRegulatedRevenue</v>
      </c>
    </row>
    <row r="111" spans="2:33" x14ac:dyDescent="0.35">
      <c r="B111" t="s">
        <v>283</v>
      </c>
      <c r="C111" s="7" t="s">
        <v>160</v>
      </c>
      <c r="E111" s="16" t="s">
        <v>286</v>
      </c>
      <c r="F111" s="16" t="s">
        <v>164</v>
      </c>
      <c r="G111" s="16" t="s">
        <v>163</v>
      </c>
      <c r="H111" t="s">
        <v>186</v>
      </c>
      <c r="I111" s="8">
        <v>6339</v>
      </c>
      <c r="J111" s="8">
        <v>6229</v>
      </c>
      <c r="K111" s="8">
        <v>5933</v>
      </c>
      <c r="L111" s="8"/>
      <c r="M111" s="15">
        <f t="shared" si="191"/>
        <v>0.49488640799437894</v>
      </c>
      <c r="N111" s="15">
        <f t="shared" si="191"/>
        <v>0.41763325511230304</v>
      </c>
      <c r="O111" s="15">
        <f t="shared" si="191"/>
        <v>0.42218743328826586</v>
      </c>
      <c r="P111" s="19">
        <f t="shared" ref="P111:P114" si="195">IFERROR(AVERAGE(M111:O111), "n/a")</f>
        <v>0.44490236546498263</v>
      </c>
      <c r="Q111" s="19"/>
      <c r="R111" s="15">
        <f t="shared" si="192"/>
        <v>0.46031515503594511</v>
      </c>
      <c r="S111" s="15">
        <f t="shared" si="192"/>
        <v>0.39092506589682441</v>
      </c>
      <c r="T111" s="15">
        <f t="shared" si="192"/>
        <v>0.39614074914869468</v>
      </c>
      <c r="U111" s="19">
        <f t="shared" ref="U111:U114" si="196">IFERROR(AVERAGE(R111:T111), "n/a")</f>
        <v>0.4157936566938214</v>
      </c>
      <c r="V111" s="10" t="str">
        <f t="shared" si="193"/>
        <v>TRPRegulatedRevenue</v>
      </c>
      <c r="W111" s="10" t="str">
        <f t="shared" si="194"/>
        <v>TRPGasRegulatedRevenue</v>
      </c>
      <c r="Y111" s="10" t="s">
        <v>291</v>
      </c>
      <c r="Z111" s="28">
        <f>SUMIF(W:W, Y111, U:U)/SUMIF(V:V, C111&amp;G111&amp;H111, U:U)</f>
        <v>0.12320131882748651</v>
      </c>
      <c r="AB111" s="24" t="s">
        <v>202</v>
      </c>
      <c r="AC111" s="15">
        <f>IFERROR(SUMIFS(I:I,$C:$C,$C111, $G:$G, "Unregulated", $H:$H, "Revenue")/SUMIFS(I:I,$C:$C,$C111, $H:$H, "Revenue"), "n/a")</f>
        <v>6.9856945755573302E-2</v>
      </c>
      <c r="AD111" s="15">
        <f>IFERROR(SUMIFS(J:J,$C:$C,$C111, $G:$G, "Unregulated", $H:$H, "Revenue")/SUMIFS(J:J,$C:$C,$C111, $H:$H, "Revenue"), "n/a")</f>
        <v>6.3951299108823897E-2</v>
      </c>
      <c r="AE111" s="15">
        <f>IFERROR(SUMIFS(K:K,$C:$C,$C111, $G:$G, "Unregulated", $H:$H, "Revenue")/SUMIFS(K:K,$C:$C,$C111, $H:$H, "Revenue"), "n/a")</f>
        <v>6.1694598384189087E-2</v>
      </c>
      <c r="AF111" s="19">
        <f>IFERROR(AVERAGE(AC111:AE111), "n/a")</f>
        <v>6.5167614416195424E-2</v>
      </c>
      <c r="AG111" s="24" t="str">
        <f>C111&amp;AB111</f>
        <v>TRPUnregulatedRevenue</v>
      </c>
    </row>
    <row r="112" spans="2:33" x14ac:dyDescent="0.35">
      <c r="B112" t="s">
        <v>284</v>
      </c>
      <c r="C112" s="7" t="s">
        <v>160</v>
      </c>
      <c r="E112" s="16" t="s">
        <v>287</v>
      </c>
      <c r="F112" s="16" t="s">
        <v>164</v>
      </c>
      <c r="G112" s="16" t="s">
        <v>163</v>
      </c>
      <c r="H112" t="s">
        <v>186</v>
      </c>
      <c r="I112" s="8">
        <v>870</v>
      </c>
      <c r="J112" s="8">
        <v>846</v>
      </c>
      <c r="K112" s="8">
        <v>688</v>
      </c>
      <c r="L112" s="8"/>
      <c r="M112" s="15">
        <f t="shared" si="191"/>
        <v>6.7920993051760484E-2</v>
      </c>
      <c r="N112" s="15">
        <f t="shared" si="191"/>
        <v>5.6721421387864568E-2</v>
      </c>
      <c r="O112" s="15">
        <f t="shared" si="191"/>
        <v>4.895751796769373E-2</v>
      </c>
      <c r="P112" s="19">
        <f t="shared" si="195"/>
        <v>5.7866644135772922E-2</v>
      </c>
      <c r="Q112" s="19"/>
      <c r="R112" s="15">
        <f t="shared" si="192"/>
        <v>6.3176239924478975E-2</v>
      </c>
      <c r="S112" s="15">
        <f t="shared" si="192"/>
        <v>5.3094012802811598E-2</v>
      </c>
      <c r="T112" s="15">
        <f t="shared" si="192"/>
        <v>4.5937103558790146E-2</v>
      </c>
      <c r="U112" s="19">
        <f t="shared" si="196"/>
        <v>5.4069118762026913E-2</v>
      </c>
      <c r="V112" s="10" t="str">
        <f t="shared" si="193"/>
        <v>TRPRegulatedRevenue</v>
      </c>
      <c r="W112" s="10" t="str">
        <f t="shared" si="194"/>
        <v>TRPGasRegulatedRevenue</v>
      </c>
      <c r="Y112" s="10" t="s">
        <v>292</v>
      </c>
      <c r="Z112" s="28">
        <f>SUMIF(W:W, Y112, U:U)/SUMIF(V:V, C112&amp;G112&amp;H112, U:U)</f>
        <v>0</v>
      </c>
      <c r="AB112" s="24"/>
      <c r="AC112" s="15"/>
      <c r="AD112" s="15"/>
      <c r="AE112" s="15"/>
      <c r="AF112" s="19"/>
      <c r="AG112" s="24"/>
    </row>
    <row r="113" spans="3:33" x14ac:dyDescent="0.35">
      <c r="C113" s="7" t="s">
        <v>160</v>
      </c>
      <c r="E113" s="16" t="s">
        <v>288</v>
      </c>
      <c r="F113" s="16" t="s">
        <v>162</v>
      </c>
      <c r="G113" s="16" t="s">
        <v>163</v>
      </c>
      <c r="H113" t="s">
        <v>186</v>
      </c>
      <c r="I113" s="8">
        <v>0</v>
      </c>
      <c r="J113" s="8">
        <v>2667</v>
      </c>
      <c r="K113" s="8">
        <v>2668</v>
      </c>
      <c r="L113" s="8"/>
      <c r="M113" s="15">
        <f t="shared" si="191"/>
        <v>0</v>
      </c>
      <c r="N113" s="15">
        <f t="shared" si="191"/>
        <v>0.17881327522628226</v>
      </c>
      <c r="O113" s="15">
        <f t="shared" si="191"/>
        <v>0.18985270049099837</v>
      </c>
      <c r="P113" s="19">
        <f t="shared" si="195"/>
        <v>0.12288865857242688</v>
      </c>
      <c r="Q113" s="19"/>
      <c r="R113" s="15">
        <f t="shared" si="192"/>
        <v>0</v>
      </c>
      <c r="S113" s="15">
        <f t="shared" si="192"/>
        <v>0.16737793397765785</v>
      </c>
      <c r="T113" s="15">
        <f t="shared" si="192"/>
        <v>0.17813981438205248</v>
      </c>
      <c r="U113" s="19">
        <f t="shared" si="196"/>
        <v>0.11517258278657011</v>
      </c>
      <c r="V113" s="10" t="str">
        <f t="shared" si="193"/>
        <v>TRPRegulatedRevenue</v>
      </c>
      <c r="W113" s="10" t="str">
        <f t="shared" si="194"/>
        <v>TRPOilRegulatedRevenue</v>
      </c>
      <c r="AB113" s="24"/>
      <c r="AC113" s="15"/>
      <c r="AD113" s="15"/>
      <c r="AE113" s="15"/>
      <c r="AF113" s="19"/>
      <c r="AG113" s="24"/>
    </row>
    <row r="114" spans="3:33" x14ac:dyDescent="0.35">
      <c r="C114" s="7" t="s">
        <v>160</v>
      </c>
      <c r="E114" s="16" t="s">
        <v>289</v>
      </c>
      <c r="F114" s="16" t="s">
        <v>187</v>
      </c>
      <c r="G114" s="16" t="s">
        <v>192</v>
      </c>
      <c r="H114" t="s">
        <v>186</v>
      </c>
      <c r="I114" s="8">
        <v>954</v>
      </c>
      <c r="J114" s="8">
        <v>1019</v>
      </c>
      <c r="K114" s="8">
        <v>924</v>
      </c>
      <c r="L114" s="8"/>
      <c r="M114" s="15" t="str">
        <f t="shared" si="191"/>
        <v>n/a</v>
      </c>
      <c r="N114" s="15" t="str">
        <f t="shared" si="191"/>
        <v>n/a</v>
      </c>
      <c r="O114" s="15" t="str">
        <f t="shared" si="191"/>
        <v>n/a</v>
      </c>
      <c r="P114" s="19" t="str">
        <f t="shared" si="195"/>
        <v>n/a</v>
      </c>
      <c r="Q114" s="19"/>
      <c r="R114" s="15">
        <f t="shared" si="192"/>
        <v>6.9276014813739017E-2</v>
      </c>
      <c r="S114" s="15">
        <f t="shared" si="192"/>
        <v>6.3951299108823897E-2</v>
      </c>
      <c r="T114" s="15">
        <f t="shared" si="192"/>
        <v>6.1694598384189087E-2</v>
      </c>
      <c r="U114" s="19">
        <f t="shared" si="196"/>
        <v>6.4973970768917338E-2</v>
      </c>
      <c r="V114" s="10" t="str">
        <f t="shared" si="193"/>
        <v>TRPUnregulatedRevenue</v>
      </c>
      <c r="W114" s="10" t="str">
        <f t="shared" si="194"/>
        <v>TRPElectricUnregulatedRevenue</v>
      </c>
      <c r="AB114" s="24"/>
      <c r="AC114" s="15"/>
      <c r="AD114" s="15"/>
      <c r="AE114" s="15"/>
      <c r="AF114" s="19"/>
      <c r="AG114" s="24"/>
    </row>
    <row r="115" spans="3:33" x14ac:dyDescent="0.35">
      <c r="C115" s="7" t="s">
        <v>160</v>
      </c>
      <c r="E115" s="16" t="s">
        <v>238</v>
      </c>
      <c r="F115" s="16" t="s">
        <v>161</v>
      </c>
      <c r="G115" s="16" t="s">
        <v>192</v>
      </c>
      <c r="H115" t="s">
        <v>186</v>
      </c>
      <c r="I115" s="8">
        <v>8</v>
      </c>
      <c r="J115" s="8">
        <v>0</v>
      </c>
      <c r="K115" s="8">
        <v>0</v>
      </c>
      <c r="L115" s="8"/>
      <c r="M115" s="15" t="str">
        <f t="shared" si="191"/>
        <v>n/a</v>
      </c>
      <c r="N115" s="15" t="str">
        <f t="shared" si="191"/>
        <v>n/a</v>
      </c>
      <c r="O115" s="15" t="str">
        <f t="shared" si="191"/>
        <v>n/a</v>
      </c>
      <c r="P115" s="19" t="str">
        <f t="shared" ref="P115" si="197">IFERROR(AVERAGE(M115:O115), "n/a")</f>
        <v>n/a</v>
      </c>
      <c r="Q115" s="19"/>
      <c r="R115" s="15">
        <f t="shared" si="192"/>
        <v>5.809309418342895E-4</v>
      </c>
      <c r="S115" s="15">
        <f t="shared" si="192"/>
        <v>0</v>
      </c>
      <c r="T115" s="15">
        <f t="shared" si="192"/>
        <v>0</v>
      </c>
      <c r="U115" s="19">
        <f t="shared" ref="U115" si="198">IFERROR(AVERAGE(R115:T115), "n/a")</f>
        <v>1.9364364727809651E-4</v>
      </c>
      <c r="V115" s="10" t="str">
        <f t="shared" ref="V115" si="199">C115&amp;G115&amp;H115</f>
        <v>TRPUnregulatedRevenue</v>
      </c>
      <c r="W115" s="10" t="str">
        <f t="shared" ref="W115" si="200">C115&amp;F115&amp;G115&amp;H115</f>
        <v>TRPOtherUnregulatedRevenue</v>
      </c>
      <c r="AB115" s="24"/>
      <c r="AC115" s="15"/>
      <c r="AD115" s="15"/>
      <c r="AE115" s="15"/>
      <c r="AF115" s="19"/>
      <c r="AG115" s="24"/>
    </row>
    <row r="116" spans="3:33" x14ac:dyDescent="0.35">
      <c r="M116" s="15"/>
      <c r="N116" s="15"/>
      <c r="O116" s="15"/>
      <c r="P116" s="19"/>
      <c r="Q116" s="19"/>
      <c r="R116" s="15"/>
      <c r="S116" s="15"/>
      <c r="T116" s="15"/>
      <c r="U116" s="19"/>
      <c r="AB116" s="24"/>
      <c r="AC116" s="15"/>
      <c r="AD116" s="15"/>
      <c r="AE116" s="15"/>
      <c r="AF116" s="19"/>
      <c r="AG116" s="24"/>
    </row>
    <row r="117" spans="3:33" x14ac:dyDescent="0.35">
      <c r="E117" s="5" t="s">
        <v>194</v>
      </c>
      <c r="F117" s="5" t="s">
        <v>198</v>
      </c>
      <c r="G117" s="5" t="s">
        <v>191</v>
      </c>
      <c r="H117" s="5" t="s">
        <v>193</v>
      </c>
      <c r="I117" s="9">
        <v>2024</v>
      </c>
      <c r="J117" s="9">
        <v>2023</v>
      </c>
      <c r="K117" s="9">
        <v>2022</v>
      </c>
      <c r="L117" s="9"/>
      <c r="M117" s="14">
        <f>I117</f>
        <v>2024</v>
      </c>
      <c r="N117" s="14">
        <f t="shared" ref="N117" si="201">J117</f>
        <v>2023</v>
      </c>
      <c r="O117" s="14">
        <f t="shared" ref="O117" si="202">K117</f>
        <v>2022</v>
      </c>
      <c r="P117" s="18" t="s">
        <v>197</v>
      </c>
      <c r="Q117" s="18"/>
      <c r="R117" s="14">
        <f>M117</f>
        <v>2024</v>
      </c>
      <c r="S117" s="14">
        <f t="shared" ref="S117" si="203">N117</f>
        <v>2023</v>
      </c>
      <c r="T117" s="14">
        <f t="shared" ref="T117" si="204">O117</f>
        <v>2022</v>
      </c>
      <c r="U117" s="18" t="s">
        <v>197</v>
      </c>
      <c r="Y117" s="12"/>
      <c r="Z117" s="25" t="s">
        <v>248</v>
      </c>
      <c r="AC117" s="14">
        <f>R117</f>
        <v>2024</v>
      </c>
      <c r="AD117" s="14">
        <f t="shared" ref="AD117" si="205">S117</f>
        <v>2023</v>
      </c>
      <c r="AE117" s="14">
        <f t="shared" ref="AE117" si="206">T117</f>
        <v>2022</v>
      </c>
      <c r="AF117" s="18" t="s">
        <v>197</v>
      </c>
    </row>
    <row r="118" spans="3:33" x14ac:dyDescent="0.35">
      <c r="C118" s="7" t="s">
        <v>160</v>
      </c>
      <c r="E118" s="16" t="s">
        <v>285</v>
      </c>
      <c r="F118" s="16" t="s">
        <v>164</v>
      </c>
      <c r="G118" s="16" t="s">
        <v>163</v>
      </c>
      <c r="H118" t="s">
        <v>195</v>
      </c>
      <c r="I118" s="8">
        <v>3388</v>
      </c>
      <c r="J118" s="8">
        <v>3335</v>
      </c>
      <c r="K118" s="8">
        <v>2806</v>
      </c>
      <c r="L118" s="8"/>
      <c r="M118" s="15">
        <f t="shared" ref="M118:O123" si="207">IFERROR(IF($G118="Regulated", I118/SUMIFS(I:I,$C:$C,$C118,$G:$G,"Regulated", $H:$H, $H118), "n/a"), "n/a")</f>
        <v>0.3807597212856822</v>
      </c>
      <c r="N118" s="15">
        <f t="shared" si="207"/>
        <v>0.33410138248847926</v>
      </c>
      <c r="O118" s="15">
        <f t="shared" si="207"/>
        <v>0.31129354337696918</v>
      </c>
      <c r="P118" s="19">
        <f>IFERROR(AVERAGE(M118:O118), "n/a")</f>
        <v>0.34205154905037688</v>
      </c>
      <c r="Q118" s="19"/>
      <c r="R118" s="15">
        <f t="shared" ref="R118:T123" si="208">IFERROR(I118/SUMIFS(I:I,$C:$C,$C118, $H:$H, $H118), "n/a")</f>
        <v>0.3371479749228779</v>
      </c>
      <c r="S118" s="15">
        <f t="shared" si="208"/>
        <v>0.30351292318893336</v>
      </c>
      <c r="T118" s="15">
        <f t="shared" si="208"/>
        <v>0.28340571659428343</v>
      </c>
      <c r="U118" s="19">
        <f>IFERROR(AVERAGE(R118:T118), "n/a")</f>
        <v>0.30802220490203158</v>
      </c>
      <c r="V118" s="10" t="str">
        <f t="shared" ref="V118:V122" si="209">C118&amp;G118&amp;H118</f>
        <v>TRPRegulatedOperating Income</v>
      </c>
      <c r="W118" s="10" t="str">
        <f t="shared" ref="W118:W122" si="210">C118&amp;F118&amp;G118&amp;H118</f>
        <v>TRPGasRegulatedOperating Income</v>
      </c>
      <c r="Y118" s="10" t="s">
        <v>293</v>
      </c>
      <c r="Z118" s="28">
        <f>SUMIF(W:W, Y118, U:U)/SUMIF(V:V, C118&amp;G118&amp;H118, U:U)</f>
        <v>0.8999507933548464</v>
      </c>
      <c r="AB118" s="24" t="s">
        <v>203</v>
      </c>
      <c r="AC118" s="15">
        <f>IFERROR(SUMIFS(I:I,$C:$C,$C118, $G:$G, "Regulated", $H:$H, "Operating Income")/SUMIFS(I:I,$C:$C,$C118, $H:$H, "Operating Income"), "n/a")</f>
        <v>0.88546123992437054</v>
      </c>
      <c r="AD118" s="15">
        <f>IFERROR(SUMIFS(J:J,$C:$C,$C118, $G:$G, "Regulated", $H:$H, "Operating Income")/SUMIFS(J:J,$C:$C,$C118, $H:$H, "Operating Income"), "n/a")</f>
        <v>0.90844557699308337</v>
      </c>
      <c r="AE118" s="15">
        <f>IFERROR(SUMIFS(K:K,$C:$C,$C118, $G:$G, "Regulated", $H:$H, "Operating Income")/SUMIFS(K:K,$C:$C,$C118, $H:$H, "Operating Income"), "n/a")</f>
        <v>0.91041308958691036</v>
      </c>
      <c r="AF118" s="19">
        <f>IFERROR(AVERAGE(AC118:AE118), "n/a")</f>
        <v>0.90143996883478816</v>
      </c>
      <c r="AG118" s="24" t="str">
        <f>C118&amp;AB118</f>
        <v>TRPRegulatedOperating Income</v>
      </c>
    </row>
    <row r="119" spans="3:33" x14ac:dyDescent="0.35">
      <c r="C119" s="7" t="s">
        <v>160</v>
      </c>
      <c r="E119" s="16" t="s">
        <v>286</v>
      </c>
      <c r="F119" s="16" t="s">
        <v>164</v>
      </c>
      <c r="G119" s="16" t="s">
        <v>163</v>
      </c>
      <c r="H119" t="s">
        <v>195</v>
      </c>
      <c r="I119" s="8">
        <v>4511</v>
      </c>
      <c r="J119" s="8">
        <v>4385</v>
      </c>
      <c r="K119" s="8">
        <v>4089</v>
      </c>
      <c r="L119" s="8"/>
      <c r="M119" s="15">
        <f t="shared" si="207"/>
        <v>0.50696785794560573</v>
      </c>
      <c r="N119" s="15">
        <f t="shared" si="207"/>
        <v>0.43929072330194352</v>
      </c>
      <c r="O119" s="15">
        <f t="shared" si="207"/>
        <v>0.45362769025959621</v>
      </c>
      <c r="P119" s="19">
        <f t="shared" ref="P119:P122" si="211">IFERROR(AVERAGE(M119:O119), "n/a")</f>
        <v>0.46662875716904845</v>
      </c>
      <c r="Q119" s="19"/>
      <c r="R119" s="15">
        <f t="shared" si="208"/>
        <v>0.44890038809831823</v>
      </c>
      <c r="S119" s="15">
        <f t="shared" si="208"/>
        <v>0.39907171459774299</v>
      </c>
      <c r="T119" s="15">
        <f t="shared" si="208"/>
        <v>0.412988587011413</v>
      </c>
      <c r="U119" s="19">
        <f t="shared" ref="U119:U122" si="212">IFERROR(AVERAGE(R119:T119), "n/a")</f>
        <v>0.42032022990249135</v>
      </c>
      <c r="V119" s="10" t="str">
        <f t="shared" si="209"/>
        <v>TRPRegulatedOperating Income</v>
      </c>
      <c r="W119" s="10" t="str">
        <f t="shared" si="210"/>
        <v>TRPGasRegulatedOperating Income</v>
      </c>
      <c r="Y119" s="10" t="s">
        <v>294</v>
      </c>
      <c r="Z119" s="28">
        <f>SUMIF(W:W, Y119, U:U)/SUMIF(V:V, C119&amp;G119&amp;H119, U:U)</f>
        <v>0.1000492066451536</v>
      </c>
      <c r="AB119" s="24" t="s">
        <v>204</v>
      </c>
      <c r="AC119" s="15">
        <f>IFERROR(SUMIFS(I:I,$C:$C,$C119, $G:$G, "Unregulated", $H:$H, "Operating Income")/SUMIFS(I:I,$C:$C,$C119, $H:$H, "Operating Income"), "n/a")</f>
        <v>0.11453876007562942</v>
      </c>
      <c r="AD119" s="15">
        <f>IFERROR(SUMIFS(J:J,$C:$C,$C119, $G:$G, "Unregulated", $H:$H, "Operating Income")/SUMIFS(J:J,$C:$C,$C119, $H:$H, "Operating Income"), "n/a")</f>
        <v>9.155442300691663E-2</v>
      </c>
      <c r="AE119" s="15">
        <f>IFERROR(SUMIFS(K:K,$C:$C,$C119, $G:$G, "Unregulated", $H:$H, "Operating Income")/SUMIFS(K:K,$C:$C,$C119, $H:$H, "Operating Income"), "n/a")</f>
        <v>8.9586910413089582E-2</v>
      </c>
      <c r="AF119" s="19">
        <f>IFERROR(AVERAGE(AC119:AE119), "n/a")</f>
        <v>9.8560031165211878E-2</v>
      </c>
      <c r="AG119" s="24" t="str">
        <f>C119&amp;AB119</f>
        <v>TRPUnregulatedOperating Income</v>
      </c>
    </row>
    <row r="120" spans="3:33" x14ac:dyDescent="0.35">
      <c r="C120" s="7" t="s">
        <v>160</v>
      </c>
      <c r="E120" s="16" t="s">
        <v>287</v>
      </c>
      <c r="F120" s="16" t="s">
        <v>164</v>
      </c>
      <c r="G120" s="16" t="s">
        <v>163</v>
      </c>
      <c r="H120" t="s">
        <v>195</v>
      </c>
      <c r="I120" s="8">
        <v>999</v>
      </c>
      <c r="J120" s="8">
        <v>805</v>
      </c>
      <c r="K120" s="8">
        <v>753</v>
      </c>
      <c r="L120" s="8"/>
      <c r="M120" s="15">
        <f t="shared" si="207"/>
        <v>0.11227242076871206</v>
      </c>
      <c r="N120" s="15">
        <f t="shared" si="207"/>
        <v>8.0645161290322578E-2</v>
      </c>
      <c r="O120" s="15">
        <f t="shared" si="207"/>
        <v>8.3536720656756158E-2</v>
      </c>
      <c r="P120" s="19">
        <f t="shared" si="211"/>
        <v>9.2151434238596938E-2</v>
      </c>
      <c r="Q120" s="19"/>
      <c r="R120" s="15">
        <f t="shared" si="208"/>
        <v>9.9412876903174449E-2</v>
      </c>
      <c r="S120" s="15">
        <f t="shared" si="208"/>
        <v>7.3261740080087373E-2</v>
      </c>
      <c r="T120" s="15">
        <f t="shared" si="208"/>
        <v>7.6052923947076051E-2</v>
      </c>
      <c r="U120" s="19">
        <f t="shared" si="212"/>
        <v>8.2909180310112615E-2</v>
      </c>
      <c r="V120" s="10" t="str">
        <f t="shared" si="209"/>
        <v>TRPRegulatedOperating Income</v>
      </c>
      <c r="W120" s="10" t="str">
        <f t="shared" si="210"/>
        <v>TRPGasRegulatedOperating Income</v>
      </c>
      <c r="Y120" s="10" t="s">
        <v>295</v>
      </c>
      <c r="Z120" s="28">
        <f>SUMIF(W:W, Y120, U:U)/SUMIF(V:V, C120&amp;G120&amp;H120, U:U)</f>
        <v>0</v>
      </c>
      <c r="AB120" s="24"/>
      <c r="AC120" s="15"/>
      <c r="AD120" s="15"/>
      <c r="AE120" s="15"/>
      <c r="AF120" s="19"/>
      <c r="AG120" s="24"/>
    </row>
    <row r="121" spans="3:33" x14ac:dyDescent="0.35">
      <c r="C121" s="7" t="s">
        <v>160</v>
      </c>
      <c r="E121" s="16" t="s">
        <v>288</v>
      </c>
      <c r="F121" s="16" t="s">
        <v>162</v>
      </c>
      <c r="G121" s="16" t="s">
        <v>163</v>
      </c>
      <c r="H121" t="s">
        <v>195</v>
      </c>
      <c r="I121" s="8">
        <v>0</v>
      </c>
      <c r="J121" s="8">
        <v>1457</v>
      </c>
      <c r="K121" s="8">
        <v>1366</v>
      </c>
      <c r="L121" s="8"/>
      <c r="M121" s="15">
        <f t="shared" si="207"/>
        <v>0</v>
      </c>
      <c r="N121" s="15">
        <f t="shared" si="207"/>
        <v>0.14596273291925466</v>
      </c>
      <c r="O121" s="15">
        <f t="shared" si="207"/>
        <v>0.15154204570667851</v>
      </c>
      <c r="P121" s="19">
        <f t="shared" si="211"/>
        <v>9.9168259541977721E-2</v>
      </c>
      <c r="Q121" s="19"/>
      <c r="R121" s="15">
        <f t="shared" si="208"/>
        <v>0</v>
      </c>
      <c r="S121" s="15">
        <f t="shared" si="208"/>
        <v>0.13259919912631962</v>
      </c>
      <c r="T121" s="15">
        <f t="shared" si="208"/>
        <v>0.13796586203413796</v>
      </c>
      <c r="U121" s="19">
        <f t="shared" si="212"/>
        <v>9.0188353720152534E-2</v>
      </c>
      <c r="V121" s="10" t="str">
        <f t="shared" si="209"/>
        <v>TRPRegulatedOperating Income</v>
      </c>
      <c r="W121" s="10" t="str">
        <f t="shared" si="210"/>
        <v>TRPOilRegulatedOperating Income</v>
      </c>
      <c r="AB121" s="24"/>
      <c r="AC121" s="15"/>
      <c r="AD121" s="15"/>
      <c r="AE121" s="15"/>
      <c r="AF121" s="19"/>
      <c r="AG121" s="24"/>
    </row>
    <row r="122" spans="3:33" x14ac:dyDescent="0.35">
      <c r="C122" s="7" t="s">
        <v>160</v>
      </c>
      <c r="E122" s="16" t="s">
        <v>289</v>
      </c>
      <c r="F122" s="16" t="s">
        <v>187</v>
      </c>
      <c r="G122" s="16" t="s">
        <v>192</v>
      </c>
      <c r="H122" t="s">
        <v>195</v>
      </c>
      <c r="I122" s="8">
        <v>1214</v>
      </c>
      <c r="J122" s="8">
        <v>1020</v>
      </c>
      <c r="K122" s="8">
        <v>907</v>
      </c>
      <c r="L122" s="8"/>
      <c r="M122" s="15" t="str">
        <f t="shared" si="207"/>
        <v>n/a</v>
      </c>
      <c r="N122" s="15" t="str">
        <f t="shared" si="207"/>
        <v>n/a</v>
      </c>
      <c r="O122" s="15" t="str">
        <f t="shared" si="207"/>
        <v>n/a</v>
      </c>
      <c r="P122" s="19" t="str">
        <f t="shared" si="211"/>
        <v>n/a</v>
      </c>
      <c r="Q122" s="19"/>
      <c r="R122" s="15">
        <f t="shared" si="208"/>
        <v>0.12080804060105484</v>
      </c>
      <c r="S122" s="15">
        <f t="shared" si="208"/>
        <v>9.2828540225700765E-2</v>
      </c>
      <c r="T122" s="15">
        <f t="shared" si="208"/>
        <v>9.1606908393091602E-2</v>
      </c>
      <c r="U122" s="19">
        <f t="shared" si="212"/>
        <v>0.10174782973994907</v>
      </c>
      <c r="V122" s="10" t="str">
        <f t="shared" si="209"/>
        <v>TRPUnregulatedOperating Income</v>
      </c>
      <c r="W122" s="10" t="str">
        <f t="shared" si="210"/>
        <v>TRPElectricUnregulatedOperating Income</v>
      </c>
      <c r="AB122" s="24"/>
      <c r="AC122" s="15"/>
      <c r="AD122" s="15"/>
      <c r="AE122" s="15"/>
      <c r="AF122" s="19"/>
      <c r="AG122" s="24"/>
    </row>
    <row r="123" spans="3:33" x14ac:dyDescent="0.35">
      <c r="C123" s="7" t="s">
        <v>160</v>
      </c>
      <c r="E123" s="16" t="s">
        <v>238</v>
      </c>
      <c r="F123" s="16" t="s">
        <v>161</v>
      </c>
      <c r="G123" s="16" t="s">
        <v>192</v>
      </c>
      <c r="H123" t="s">
        <v>195</v>
      </c>
      <c r="I123" s="8">
        <v>-63</v>
      </c>
      <c r="J123" s="8">
        <v>-14</v>
      </c>
      <c r="K123" s="8">
        <v>-20</v>
      </c>
      <c r="L123" s="8"/>
      <c r="M123" s="15" t="str">
        <f t="shared" si="207"/>
        <v>n/a</v>
      </c>
      <c r="N123" s="15" t="str">
        <f t="shared" si="207"/>
        <v>n/a</v>
      </c>
      <c r="O123" s="15" t="str">
        <f t="shared" si="207"/>
        <v>n/a</v>
      </c>
      <c r="P123" s="19" t="str">
        <f t="shared" ref="P123" si="213">IFERROR(AVERAGE(M123:O123), "n/a")</f>
        <v>n/a</v>
      </c>
      <c r="Q123" s="19"/>
      <c r="R123" s="15">
        <f t="shared" si="208"/>
        <v>-6.2692805254254153E-3</v>
      </c>
      <c r="S123" s="15">
        <f t="shared" si="208"/>
        <v>-1.2741172187841281E-3</v>
      </c>
      <c r="T123" s="15">
        <f t="shared" si="208"/>
        <v>-2.01999798000202E-3</v>
      </c>
      <c r="U123" s="19">
        <f t="shared" ref="U123" si="214">IFERROR(AVERAGE(R123:T123), "n/a")</f>
        <v>-3.1877985747371875E-3</v>
      </c>
      <c r="V123" s="10" t="str">
        <f t="shared" ref="V123" si="215">C123&amp;G123&amp;H123</f>
        <v>TRPUnregulatedOperating Income</v>
      </c>
      <c r="W123" s="10" t="str">
        <f t="shared" ref="W123" si="216">C123&amp;F123&amp;G123&amp;H123</f>
        <v>TRPOtherUnregulatedOperating Income</v>
      </c>
      <c r="AB123" s="24"/>
      <c r="AC123" s="15"/>
      <c r="AD123" s="15"/>
      <c r="AE123" s="15"/>
      <c r="AF123" s="19"/>
      <c r="AG123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c52bd8-d28b-451d-b6e8-2f87fe31298f" xsi:nil="true"/>
    <lcf76f155ced4ddcb4097134ff3c332f xmlns="92bafa96-d8e2-4b23-a1de-bf0847eac01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DE9B57BA63A9418F45CD830DB80D12" ma:contentTypeVersion="11" ma:contentTypeDescription="Create a new document." ma:contentTypeScope="" ma:versionID="223a6b1ba5ef2a2ddb208cead17a178b">
  <xsd:schema xmlns:xsd="http://www.w3.org/2001/XMLSchema" xmlns:xs="http://www.w3.org/2001/XMLSchema" xmlns:p="http://schemas.microsoft.com/office/2006/metadata/properties" xmlns:ns2="92bafa96-d8e2-4b23-a1de-bf0847eac019" xmlns:ns3="99c52bd8-d28b-451d-b6e8-2f87fe31298f" targetNamespace="http://schemas.microsoft.com/office/2006/metadata/properties" ma:root="true" ma:fieldsID="bf246fbce190657253927da34a7a3ec4" ns2:_="" ns3:_="">
    <xsd:import namespace="92bafa96-d8e2-4b23-a1de-bf0847eac019"/>
    <xsd:import namespace="99c52bd8-d28b-451d-b6e8-2f87fe312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afa96-d8e2-4b23-a1de-bf0847eac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52bd8-d28b-451d-b6e8-2f87fe3129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364d0e-17ff-46de-9f10-6ce967a54ab2}" ma:internalName="TaxCatchAll" ma:showField="CatchAllData" ma:web="99c52bd8-d28b-451d-b6e8-2f87fe312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C705D3-6B2B-40B4-95CF-88D6428D7E28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3d7fcb5-7bd1-497a-b94f-6231df271a74"/>
    <ds:schemaRef ds:uri="76a73a03-073c-4e8a-9fc1-654f7c642b9a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B322017-A329-469D-80D6-6DE1B1D4CF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A8BE3-5C3C-49E4-B6E2-D89739D658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Final Proxy Groups</vt:lpstr>
      <vt:lpstr>Proxy Group Screen</vt:lpstr>
      <vt:lpstr>Credit Ratings</vt:lpstr>
      <vt:lpstr>Canadian Business Segment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Andi Romanovs-Malovrh</dc:creator>
  <cp:keywords/>
  <dc:description/>
  <cp:lastModifiedBy>Fiona O'Connell</cp:lastModifiedBy>
  <cp:revision/>
  <dcterms:created xsi:type="dcterms:W3CDTF">2025-04-14T16:51:26Z</dcterms:created>
  <dcterms:modified xsi:type="dcterms:W3CDTF">2026-06-16T15:28:36Z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0x010100F4DE9B57BA63A9418F45CD830DB80D12</vt:lpwstr>
  </property>
  <property fmtid="{D5CDD505-2E9C-101B-9397-08002B2CF9AE}" pid="3" name="{A44787D4-0540-4523-9961-78E4036D8C6D}">
    <vt:lpwstr>{26FC2419-43C5-4004-AD78-49BB8397BD9E}</vt:lpwstr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Industry Segment">
    <vt:lpwstr/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