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609" documentId="8_{C9FBAB90-F4F3-4CBF-B082-1F02C3E588B0}" xr6:coauthVersionLast="47" xr6:coauthVersionMax="47" xr10:uidLastSave="{350D26C0-8702-4F35-AEE2-1D3029A66B92}"/>
  <bookViews>
    <workbookView xWindow="-120" yWindow="-120" windowWidth="29040" windowHeight="15720" tabRatio="823" xr2:uid="{00000000-000D-0000-FFFF-FFFF00000000}"/>
  </bookViews>
  <sheets>
    <sheet name="2027 EGI Avoided Costs" sheetId="29" r:id="rId1"/>
    <sheet name="General Inputs" sheetId="5" r:id="rId2"/>
    <sheet name="2025 EGD Avoided Costs" sheetId="17" r:id="rId3"/>
    <sheet name="2025 UG Avoided Costs" sheetId="24" r:id="rId4"/>
    <sheet name="Summary of Updates" sheetId="23" r:id="rId5"/>
    <sheet name="EGD SENDOUT Report" sheetId="8" r:id="rId6"/>
    <sheet name="UG SENDOUT Report" sheetId="26" r:id="rId7"/>
    <sheet name="EGD Avoided DS Infrastructure" sheetId="20" r:id="rId8"/>
    <sheet name="UG Avoided DS Infrastructure" sheetId="27" r:id="rId9"/>
    <sheet name="EGD Avoided UFG" sheetId="21" r:id="rId10"/>
    <sheet name="UG Avoided UFG" sheetId="28" r:id="rId11"/>
    <sheet name="Avoided Electricity" sheetId="9" r:id="rId12"/>
    <sheet name="EGD Avoided Water" sheetId="32" r:id="rId13"/>
    <sheet name="UG Avoided Water" sheetId="33" r:id="rId14"/>
    <sheet name="Avoided Carbon" sheetId="31" r:id="rId15"/>
  </sheets>
  <definedNames>
    <definedName name="_xlnm._FilterDatabase" localSheetId="2" hidden="1">'2025 EGD Avoided Costs'!$A$9:$G$39</definedName>
    <definedName name="_xlnm._FilterDatabase" localSheetId="3" hidden="1">'2025 UG Avoided Costs'!$A$9:$G$39</definedName>
    <definedName name="_xlnm._FilterDatabase" localSheetId="0" hidden="1">'2027 EGI Avoided Costs'!$A$9:$R$39</definedName>
    <definedName name="_xlnm.Print_Area" localSheetId="4">'Summary of Updates'!$B$2:$C$30</definedName>
    <definedName name="_xlnm.Print_Area" localSheetId="13">'UG Avoided Water'!$A$1:$L$71</definedName>
    <definedName name="_xlnm.Print_Area" localSheetId="6">'UG SENDOUT Report'!$A$1:$Q$38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1" i="29" l="1"/>
  <c r="L12" i="29" s="1"/>
  <c r="L13" i="29" s="1"/>
  <c r="L14" i="29" s="1"/>
  <c r="L15" i="29" s="1"/>
  <c r="L16" i="29" s="1"/>
  <c r="L17" i="29" s="1"/>
  <c r="L18" i="29" s="1"/>
  <c r="L19" i="29" s="1"/>
  <c r="L20" i="29" s="1"/>
  <c r="L21" i="29" s="1"/>
  <c r="L22" i="29" s="1"/>
  <c r="L23" i="29" s="1"/>
  <c r="L24" i="29" s="1"/>
  <c r="L25" i="29" s="1"/>
  <c r="L26" i="29" s="1"/>
  <c r="L27" i="29" s="1"/>
  <c r="L28" i="29" s="1"/>
  <c r="L29" i="29" s="1"/>
  <c r="L30" i="29" s="1"/>
  <c r="L31" i="29" s="1"/>
  <c r="L32" i="29" s="1"/>
  <c r="L33" i="29" s="1"/>
  <c r="L34" i="29" s="1"/>
  <c r="L35" i="29" s="1"/>
  <c r="L36" i="29" s="1"/>
  <c r="L37" i="29" s="1"/>
  <c r="L38" i="29" s="1"/>
  <c r="L39" i="29" s="1"/>
  <c r="L40" i="29" s="1"/>
  <c r="L41" i="29" s="1"/>
  <c r="L42" i="29" s="1"/>
  <c r="L43" i="29" s="1"/>
  <c r="L44" i="29" s="1"/>
  <c r="I39" i="24" l="1"/>
  <c r="I38" i="24"/>
  <c r="I37" i="24"/>
  <c r="I36" i="24"/>
  <c r="I35" i="24"/>
  <c r="I34" i="24"/>
  <c r="I33" i="24"/>
  <c r="I32" i="24"/>
  <c r="I31" i="24"/>
  <c r="I30" i="24"/>
  <c r="I29" i="24"/>
  <c r="I28" i="24"/>
  <c r="I27" i="24"/>
  <c r="I26" i="24"/>
  <c r="I25" i="24"/>
  <c r="I24" i="24"/>
  <c r="I23" i="24"/>
  <c r="I22" i="24"/>
  <c r="I21" i="24"/>
  <c r="I20" i="24"/>
  <c r="I19" i="24"/>
  <c r="I18" i="24"/>
  <c r="I17" i="24"/>
  <c r="I16" i="24"/>
  <c r="I15" i="24"/>
  <c r="I14" i="24"/>
  <c r="I13" i="24"/>
  <c r="I12" i="24"/>
  <c r="I11" i="24"/>
  <c r="I10" i="24"/>
  <c r="J10" i="24" s="1"/>
  <c r="H11" i="29" l="1"/>
  <c r="H12" i="29" s="1"/>
  <c r="H13" i="29" s="1"/>
  <c r="H14" i="29" s="1"/>
  <c r="H15" i="29" s="1"/>
  <c r="H16" i="29" s="1"/>
  <c r="H17" i="29" s="1"/>
  <c r="H18" i="29" s="1"/>
  <c r="H19" i="29" s="1"/>
  <c r="H20" i="29" s="1"/>
  <c r="H21" i="29" s="1"/>
  <c r="H22" i="29" s="1"/>
  <c r="H23" i="29" s="1"/>
  <c r="H24" i="29" s="1"/>
  <c r="H25" i="29" s="1"/>
  <c r="H26" i="29" s="1"/>
  <c r="H27" i="29" s="1"/>
  <c r="H28" i="29" s="1"/>
  <c r="H29" i="29" s="1"/>
  <c r="H30" i="29" s="1"/>
  <c r="H31" i="29" s="1"/>
  <c r="H32" i="29" s="1"/>
  <c r="H33" i="29" s="1"/>
  <c r="H34" i="29" s="1"/>
  <c r="H35" i="29" s="1"/>
  <c r="H36" i="29" s="1"/>
  <c r="H37" i="29" s="1"/>
  <c r="H38" i="29" s="1"/>
  <c r="H39" i="29" s="1"/>
  <c r="H40" i="29" s="1"/>
  <c r="H41" i="29" s="1"/>
  <c r="H42" i="29" s="1"/>
  <c r="H43" i="29" s="1"/>
  <c r="H44" i="29" s="1"/>
  <c r="I37" i="29"/>
  <c r="I38" i="29" s="1"/>
  <c r="I39" i="29" s="1"/>
  <c r="I40" i="29" s="1"/>
  <c r="I41" i="29" s="1"/>
  <c r="I42" i="29" s="1"/>
  <c r="I43" i="29" s="1"/>
  <c r="I44" i="29" s="1"/>
  <c r="I36" i="29"/>
  <c r="I35" i="29"/>
  <c r="I34" i="29"/>
  <c r="I33" i="29"/>
  <c r="I32" i="29"/>
  <c r="I31" i="29"/>
  <c r="I30" i="29"/>
  <c r="I29" i="29"/>
  <c r="I28" i="29"/>
  <c r="I27" i="29"/>
  <c r="I26" i="29"/>
  <c r="I25" i="29"/>
  <c r="I24" i="29"/>
  <c r="I23" i="29"/>
  <c r="I22" i="29"/>
  <c r="I21" i="29"/>
  <c r="I20" i="29"/>
  <c r="I19" i="29"/>
  <c r="I18" i="29"/>
  <c r="I17" i="29"/>
  <c r="I16" i="29"/>
  <c r="I15" i="29"/>
  <c r="I14" i="29"/>
  <c r="I13" i="29"/>
  <c r="I12" i="29"/>
  <c r="I11" i="29"/>
  <c r="I10" i="29"/>
  <c r="J10" i="29" s="1"/>
  <c r="H9" i="17"/>
  <c r="J12" i="17"/>
  <c r="J11" i="17"/>
  <c r="H39" i="17"/>
  <c r="H38" i="17"/>
  <c r="I39" i="17"/>
  <c r="I38" i="17"/>
  <c r="I37" i="17"/>
  <c r="I36" i="17"/>
  <c r="I35" i="17"/>
  <c r="I34" i="17"/>
  <c r="I33" i="17"/>
  <c r="I32" i="17"/>
  <c r="I31" i="17"/>
  <c r="I30" i="17"/>
  <c r="I29" i="17"/>
  <c r="I28" i="17"/>
  <c r="I27" i="17"/>
  <c r="I26" i="17"/>
  <c r="I25" i="17"/>
  <c r="I24" i="17"/>
  <c r="I23" i="17"/>
  <c r="I22" i="17"/>
  <c r="I21" i="17"/>
  <c r="I20" i="17"/>
  <c r="I19" i="17"/>
  <c r="I18" i="17"/>
  <c r="I17" i="17"/>
  <c r="I16" i="17"/>
  <c r="I15" i="17"/>
  <c r="I14" i="17"/>
  <c r="I13" i="17"/>
  <c r="J13" i="17" s="1"/>
  <c r="I12" i="17"/>
  <c r="I11" i="17"/>
  <c r="I10" i="17"/>
  <c r="H37" i="17"/>
  <c r="H36" i="17"/>
  <c r="H35" i="17"/>
  <c r="H34" i="17"/>
  <c r="H33" i="17"/>
  <c r="H32" i="17"/>
  <c r="H31" i="17"/>
  <c r="H30" i="17"/>
  <c r="H29" i="17"/>
  <c r="H28" i="17"/>
  <c r="H27" i="17"/>
  <c r="H26" i="17"/>
  <c r="H25" i="17"/>
  <c r="H24" i="17"/>
  <c r="H23" i="17"/>
  <c r="H22" i="17"/>
  <c r="H21" i="17"/>
  <c r="H20" i="17"/>
  <c r="H19" i="17"/>
  <c r="H18" i="17"/>
  <c r="H17" i="17"/>
  <c r="H16" i="17"/>
  <c r="H15" i="17"/>
  <c r="H14" i="17"/>
  <c r="H13" i="17"/>
  <c r="H12" i="17"/>
  <c r="H11" i="17"/>
  <c r="J10" i="17"/>
  <c r="H10" i="17"/>
  <c r="H38" i="24"/>
  <c r="H37" i="24"/>
  <c r="H36" i="24"/>
  <c r="H35" i="24"/>
  <c r="H34" i="24"/>
  <c r="H33" i="24"/>
  <c r="H32" i="24"/>
  <c r="H31" i="24"/>
  <c r="H30" i="24"/>
  <c r="H29" i="24"/>
  <c r="H28" i="24"/>
  <c r="H27" i="24"/>
  <c r="H26" i="24"/>
  <c r="H25" i="24"/>
  <c r="H24" i="24"/>
  <c r="H23" i="24"/>
  <c r="H22" i="24"/>
  <c r="H21" i="24"/>
  <c r="H20" i="24"/>
  <c r="H19" i="24"/>
  <c r="H18" i="24"/>
  <c r="H17" i="24"/>
  <c r="H16" i="24"/>
  <c r="H15" i="24"/>
  <c r="H14" i="24"/>
  <c r="H13" i="24"/>
  <c r="H12" i="24"/>
  <c r="H11" i="24"/>
  <c r="H10" i="24"/>
  <c r="D68" i="32"/>
  <c r="E66" i="32" s="1"/>
  <c r="G54" i="32"/>
  <c r="E67" i="32" s="1"/>
  <c r="G51" i="32"/>
  <c r="G49" i="32"/>
  <c r="G48" i="32"/>
  <c r="J38" i="17" l="1"/>
  <c r="J26" i="17"/>
  <c r="J17" i="17"/>
  <c r="J33" i="17"/>
  <c r="J27" i="17"/>
  <c r="J30" i="17"/>
  <c r="J31" i="17"/>
  <c r="J32" i="17"/>
  <c r="J19" i="17"/>
  <c r="J20" i="17"/>
  <c r="J29" i="17"/>
  <c r="J15" i="17"/>
  <c r="J37" i="17"/>
  <c r="J24" i="17"/>
  <c r="J14" i="17"/>
  <c r="J34" i="17"/>
  <c r="J23" i="17"/>
  <c r="J25" i="17"/>
  <c r="J28" i="17"/>
  <c r="J16" i="17"/>
  <c r="J18" i="17"/>
  <c r="J36" i="17"/>
  <c r="J39" i="17"/>
  <c r="J40" i="29"/>
  <c r="J42" i="29"/>
  <c r="J41" i="29"/>
  <c r="J43" i="29"/>
  <c r="J21" i="17"/>
  <c r="J35" i="17"/>
  <c r="J44" i="29"/>
  <c r="J22" i="17"/>
  <c r="J14" i="29"/>
  <c r="J28" i="29"/>
  <c r="J21" i="29"/>
  <c r="J22" i="29"/>
  <c r="J18" i="29"/>
  <c r="J23" i="29"/>
  <c r="J19" i="29"/>
  <c r="J33" i="29"/>
  <c r="J36" i="29"/>
  <c r="J32" i="29"/>
  <c r="J37" i="29"/>
  <c r="J24" i="29"/>
  <c r="J38" i="29"/>
  <c r="J25" i="29"/>
  <c r="J39" i="29"/>
  <c r="J30" i="29"/>
  <c r="J17" i="29"/>
  <c r="J15" i="29"/>
  <c r="J29" i="29"/>
  <c r="J16" i="29"/>
  <c r="J35" i="29"/>
  <c r="J26" i="29"/>
  <c r="J20" i="29"/>
  <c r="J34" i="29"/>
  <c r="J11" i="29"/>
  <c r="J12" i="29"/>
  <c r="J31" i="29"/>
  <c r="J13" i="29"/>
  <c r="J27" i="29"/>
  <c r="E61" i="32"/>
  <c r="E68" i="32" s="1"/>
  <c r="G69" i="32" s="1"/>
  <c r="E2" i="32" s="1"/>
  <c r="E4" i="32" s="1"/>
  <c r="E62" i="32"/>
  <c r="E63" i="32"/>
  <c r="E64" i="32"/>
  <c r="E65" i="32"/>
  <c r="Q9" i="9" l="1"/>
  <c r="P9" i="9"/>
  <c r="Q8" i="9"/>
  <c r="P8" i="9"/>
  <c r="D4" i="29"/>
  <c r="F8" i="27"/>
  <c r="D3" i="29" l="1"/>
  <c r="C7" i="5"/>
  <c r="D5" i="29" s="1"/>
  <c r="Q44" i="9"/>
  <c r="U44" i="29" s="1"/>
  <c r="P44" i="9"/>
  <c r="Q44" i="29" s="1"/>
  <c r="Q43" i="9"/>
  <c r="U43" i="29" s="1"/>
  <c r="P43" i="9"/>
  <c r="Q43" i="29" s="1"/>
  <c r="Q42" i="9"/>
  <c r="U42" i="29" s="1"/>
  <c r="P42" i="9"/>
  <c r="Q42" i="29" s="1"/>
  <c r="Q41" i="9"/>
  <c r="U41" i="29" s="1"/>
  <c r="P41" i="9"/>
  <c r="Q41" i="29" s="1"/>
  <c r="Q40" i="9"/>
  <c r="U40" i="29" s="1"/>
  <c r="P40" i="9"/>
  <c r="Q40" i="29" s="1"/>
  <c r="Q39" i="9"/>
  <c r="U39" i="29" s="1"/>
  <c r="P39" i="9"/>
  <c r="Q39" i="29" s="1"/>
  <c r="Q38" i="9"/>
  <c r="U38" i="29" s="1"/>
  <c r="P38" i="9"/>
  <c r="Q38" i="29" s="1"/>
  <c r="Q37" i="9"/>
  <c r="U37" i="29" s="1"/>
  <c r="P37" i="9"/>
  <c r="Q37" i="29" s="1"/>
  <c r="Q36" i="9"/>
  <c r="U36" i="29" s="1"/>
  <c r="P36" i="9"/>
  <c r="Q36" i="29" s="1"/>
  <c r="Q35" i="9"/>
  <c r="U35" i="29" s="1"/>
  <c r="P35" i="9"/>
  <c r="Q35" i="29" s="1"/>
  <c r="Q34" i="9"/>
  <c r="U34" i="29" s="1"/>
  <c r="P34" i="9"/>
  <c r="Q34" i="29" s="1"/>
  <c r="Q33" i="9"/>
  <c r="U33" i="29" s="1"/>
  <c r="P33" i="9"/>
  <c r="Q33" i="29" s="1"/>
  <c r="Q32" i="9"/>
  <c r="U32" i="29" s="1"/>
  <c r="P32" i="9"/>
  <c r="Q32" i="29" s="1"/>
  <c r="Q31" i="9"/>
  <c r="U31" i="29" s="1"/>
  <c r="P31" i="9"/>
  <c r="Q31" i="29" s="1"/>
  <c r="Q30" i="9"/>
  <c r="U30" i="29" s="1"/>
  <c r="P30" i="9"/>
  <c r="Q30" i="29" s="1"/>
  <c r="Q29" i="9"/>
  <c r="U29" i="29" s="1"/>
  <c r="P29" i="9"/>
  <c r="Q29" i="29" s="1"/>
  <c r="Q28" i="9"/>
  <c r="U28" i="29" s="1"/>
  <c r="P28" i="9"/>
  <c r="Q28" i="29" s="1"/>
  <c r="Q27" i="9"/>
  <c r="Y27" i="29" s="1"/>
  <c r="P27" i="9"/>
  <c r="Q27" i="29" s="1"/>
  <c r="Q26" i="9"/>
  <c r="Y26" i="29" s="1"/>
  <c r="P26" i="9"/>
  <c r="Q26" i="29" s="1"/>
  <c r="Q25" i="9"/>
  <c r="U25" i="29" s="1"/>
  <c r="P25" i="9"/>
  <c r="Q25" i="29" s="1"/>
  <c r="Q24" i="9"/>
  <c r="U24" i="29" s="1"/>
  <c r="P24" i="9"/>
  <c r="Q24" i="29" s="1"/>
  <c r="Q23" i="9"/>
  <c r="U23" i="29" s="1"/>
  <c r="P23" i="9"/>
  <c r="Q23" i="29" s="1"/>
  <c r="Q22" i="9"/>
  <c r="Y22" i="29" s="1"/>
  <c r="P22" i="9"/>
  <c r="Q22" i="29" s="1"/>
  <c r="Q21" i="9"/>
  <c r="U21" i="29" s="1"/>
  <c r="P21" i="9"/>
  <c r="Q21" i="29" s="1"/>
  <c r="Q20" i="9"/>
  <c r="U20" i="29" s="1"/>
  <c r="P20" i="9"/>
  <c r="Q20" i="29" s="1"/>
  <c r="Q19" i="9"/>
  <c r="U19" i="29" s="1"/>
  <c r="P19" i="9"/>
  <c r="Q19" i="29" s="1"/>
  <c r="Q18" i="9"/>
  <c r="U18" i="29" s="1"/>
  <c r="P18" i="9"/>
  <c r="Q18" i="29" s="1"/>
  <c r="Q17" i="9"/>
  <c r="U17" i="29" s="1"/>
  <c r="P17" i="9"/>
  <c r="Q17" i="29" s="1"/>
  <c r="Q16" i="9"/>
  <c r="U16" i="29" s="1"/>
  <c r="P16" i="9"/>
  <c r="Q16" i="29" s="1"/>
  <c r="Q15" i="9"/>
  <c r="U15" i="29" s="1"/>
  <c r="P15" i="9"/>
  <c r="Q15" i="29" s="1"/>
  <c r="Q14" i="9"/>
  <c r="U14" i="29" s="1"/>
  <c r="P14" i="9"/>
  <c r="Q14" i="29" s="1"/>
  <c r="Q13" i="9"/>
  <c r="U13" i="29" s="1"/>
  <c r="P13" i="9"/>
  <c r="Q13" i="29" s="1"/>
  <c r="Q12" i="9"/>
  <c r="U12" i="29" s="1"/>
  <c r="P12" i="9"/>
  <c r="Q12" i="29" s="1"/>
  <c r="Q11" i="9"/>
  <c r="U11" i="29" s="1"/>
  <c r="P11" i="9"/>
  <c r="Q11" i="29" s="1"/>
  <c r="Q10" i="9"/>
  <c r="U10" i="29" s="1"/>
  <c r="P10" i="9"/>
  <c r="Q10" i="29" s="1"/>
  <c r="Z14" i="29" l="1"/>
  <c r="Z13" i="29"/>
  <c r="Z12" i="29"/>
  <c r="Z24" i="29"/>
  <c r="Z21" i="29"/>
  <c r="Z20" i="29"/>
  <c r="Z17" i="29"/>
  <c r="Y38" i="29"/>
  <c r="Y39" i="29" s="1"/>
  <c r="Y40" i="29" s="1"/>
  <c r="Y41" i="29" s="1"/>
  <c r="Y42" i="29" s="1"/>
  <c r="Y43" i="29" s="1"/>
  <c r="Y44" i="29" s="1"/>
  <c r="B11" i="29"/>
  <c r="Z10" i="29"/>
  <c r="Z26" i="29" s="1"/>
  <c r="X10" i="29"/>
  <c r="V10" i="29"/>
  <c r="T10" i="29"/>
  <c r="R10" i="29"/>
  <c r="P10" i="29"/>
  <c r="T9" i="29"/>
  <c r="X9" i="29" s="1"/>
  <c r="I5" i="29"/>
  <c r="J4" i="29" s="1"/>
  <c r="J6" i="8"/>
  <c r="J5" i="8"/>
  <c r="J4" i="8"/>
  <c r="I6" i="8"/>
  <c r="I5" i="8"/>
  <c r="I4" i="8"/>
  <c r="J6" i="26"/>
  <c r="J5" i="26"/>
  <c r="J4" i="26"/>
  <c r="I6" i="26"/>
  <c r="I5" i="26"/>
  <c r="I4" i="26"/>
  <c r="Z16" i="29" l="1"/>
  <c r="Z18" i="29"/>
  <c r="Z19" i="29"/>
  <c r="Z22" i="29"/>
  <c r="Z23" i="29"/>
  <c r="Z25" i="29"/>
  <c r="Z15" i="29"/>
  <c r="Z36" i="29"/>
  <c r="R20" i="29"/>
  <c r="V41" i="29"/>
  <c r="J3" i="29"/>
  <c r="R15" i="29"/>
  <c r="R13" i="29"/>
  <c r="R25" i="29"/>
  <c r="R34" i="29"/>
  <c r="Z40" i="29"/>
  <c r="R18" i="29"/>
  <c r="R29" i="29"/>
  <c r="P11" i="29"/>
  <c r="R41" i="29"/>
  <c r="R27" i="29"/>
  <c r="R39" i="29"/>
  <c r="R11" i="29"/>
  <c r="R32" i="29"/>
  <c r="R43" i="29"/>
  <c r="R36" i="29"/>
  <c r="R22" i="29"/>
  <c r="V31" i="29"/>
  <c r="V34" i="29"/>
  <c r="Z38" i="29"/>
  <c r="V43" i="29"/>
  <c r="V29" i="29"/>
  <c r="Z31" i="29"/>
  <c r="Z33" i="29"/>
  <c r="Z43" i="29"/>
  <c r="V38" i="29"/>
  <c r="V22" i="29"/>
  <c r="V13" i="29"/>
  <c r="V36" i="29"/>
  <c r="V17" i="29"/>
  <c r="V20" i="29"/>
  <c r="V24" i="29"/>
  <c r="Z29" i="29"/>
  <c r="V15" i="29"/>
  <c r="V27" i="29"/>
  <c r="T11" i="29"/>
  <c r="Z41" i="29"/>
  <c r="X11" i="29"/>
  <c r="R16" i="29"/>
  <c r="V32" i="29"/>
  <c r="V39" i="29"/>
  <c r="Z11" i="29"/>
  <c r="R14" i="29"/>
  <c r="V16" i="29"/>
  <c r="R21" i="29"/>
  <c r="V23" i="29"/>
  <c r="R28" i="29"/>
  <c r="V30" i="29"/>
  <c r="Z32" i="29"/>
  <c r="R35" i="29"/>
  <c r="V37" i="29"/>
  <c r="Z39" i="29"/>
  <c r="R42" i="29"/>
  <c r="V44" i="29"/>
  <c r="V11" i="29"/>
  <c r="V18" i="29"/>
  <c r="R44" i="29"/>
  <c r="R23" i="29"/>
  <c r="V25" i="29"/>
  <c r="R12" i="29"/>
  <c r="V14" i="29"/>
  <c r="R19" i="29"/>
  <c r="V21" i="29"/>
  <c r="R26" i="29"/>
  <c r="V28" i="29"/>
  <c r="Z30" i="29"/>
  <c r="R33" i="29"/>
  <c r="V35" i="29"/>
  <c r="Z37" i="29"/>
  <c r="R40" i="29"/>
  <c r="V42" i="29"/>
  <c r="Z44" i="29"/>
  <c r="Z27" i="29"/>
  <c r="R30" i="29"/>
  <c r="Z34" i="29"/>
  <c r="R37" i="29"/>
  <c r="B12" i="29"/>
  <c r="V12" i="29"/>
  <c r="R17" i="29"/>
  <c r="V19" i="29"/>
  <c r="R24" i="29"/>
  <c r="V26" i="29"/>
  <c r="Z28" i="29"/>
  <c r="R31" i="29"/>
  <c r="V33" i="29"/>
  <c r="Z35" i="29"/>
  <c r="R38" i="29"/>
  <c r="V40" i="29"/>
  <c r="Z42" i="29"/>
  <c r="F14" i="20"/>
  <c r="F15" i="20" s="1"/>
  <c r="F16" i="20" s="1"/>
  <c r="F17" i="20" s="1"/>
  <c r="F18" i="20" s="1"/>
  <c r="F19" i="20" s="1"/>
  <c r="F20" i="20" s="1"/>
  <c r="F21" i="20" s="1"/>
  <c r="F22" i="20" s="1"/>
  <c r="F23" i="20" s="1"/>
  <c r="F24" i="20" s="1"/>
  <c r="F25" i="20" s="1"/>
  <c r="F26" i="20" s="1"/>
  <c r="F27" i="20" s="1"/>
  <c r="F28" i="20" s="1"/>
  <c r="F29" i="20" s="1"/>
  <c r="F30" i="20" s="1"/>
  <c r="F31" i="20" s="1"/>
  <c r="F32" i="20" s="1"/>
  <c r="F33" i="20" s="1"/>
  <c r="F34" i="20" s="1"/>
  <c r="F35" i="20" s="1"/>
  <c r="F36" i="20" s="1"/>
  <c r="F37" i="20" s="1"/>
  <c r="F38" i="20" s="1"/>
  <c r="F39" i="20" s="1"/>
  <c r="F40" i="20" s="1"/>
  <c r="F41" i="20" s="1"/>
  <c r="F42" i="20" s="1"/>
  <c r="F43" i="20" s="1"/>
  <c r="E14" i="20"/>
  <c r="E15" i="20" s="1"/>
  <c r="E16" i="20" s="1"/>
  <c r="E17" i="20" s="1"/>
  <c r="E18" i="20" s="1"/>
  <c r="E19" i="20" s="1"/>
  <c r="E20" i="20" s="1"/>
  <c r="E21" i="20" s="1"/>
  <c r="E22" i="20" s="1"/>
  <c r="E23" i="20" s="1"/>
  <c r="E24" i="20" s="1"/>
  <c r="E25" i="20" s="1"/>
  <c r="E26" i="20" s="1"/>
  <c r="E27" i="20" s="1"/>
  <c r="E28" i="20" s="1"/>
  <c r="E29" i="20" s="1"/>
  <c r="E30" i="20" s="1"/>
  <c r="E31" i="20" s="1"/>
  <c r="E32" i="20" s="1"/>
  <c r="E33" i="20" s="1"/>
  <c r="E34" i="20" s="1"/>
  <c r="E35" i="20" s="1"/>
  <c r="E36" i="20" s="1"/>
  <c r="E37" i="20" s="1"/>
  <c r="E38" i="20" s="1"/>
  <c r="E39" i="20" s="1"/>
  <c r="E40" i="20" s="1"/>
  <c r="E41" i="20" s="1"/>
  <c r="E42" i="20" s="1"/>
  <c r="E43" i="20" s="1"/>
  <c r="D36" i="21"/>
  <c r="D35" i="21"/>
  <c r="D34" i="21"/>
  <c r="D33" i="21"/>
  <c r="D32" i="21"/>
  <c r="D31" i="21"/>
  <c r="D30" i="21"/>
  <c r="D29" i="21"/>
  <c r="D28" i="21"/>
  <c r="D27" i="21"/>
  <c r="D26" i="21"/>
  <c r="D25" i="21"/>
  <c r="D24" i="21"/>
  <c r="D23" i="21"/>
  <c r="D22" i="21"/>
  <c r="D21" i="21"/>
  <c r="D20" i="21"/>
  <c r="D19" i="21"/>
  <c r="D18" i="21"/>
  <c r="D17" i="21"/>
  <c r="D16" i="21"/>
  <c r="D15" i="21"/>
  <c r="D14" i="21"/>
  <c r="D13" i="21"/>
  <c r="D12" i="21"/>
  <c r="D11" i="21"/>
  <c r="D10" i="21"/>
  <c r="D9" i="21"/>
  <c r="D8" i="21"/>
  <c r="C14" i="27"/>
  <c r="C15" i="27" s="1"/>
  <c r="C16" i="27" s="1"/>
  <c r="C17" i="27" s="1"/>
  <c r="C18" i="27" s="1"/>
  <c r="C19" i="27" s="1"/>
  <c r="C20" i="27" s="1"/>
  <c r="C21" i="27" s="1"/>
  <c r="C22" i="27" s="1"/>
  <c r="C23" i="27" s="1"/>
  <c r="C24" i="27" s="1"/>
  <c r="C25" i="27" s="1"/>
  <c r="C26" i="27" s="1"/>
  <c r="C27" i="27" s="1"/>
  <c r="C28" i="27" s="1"/>
  <c r="C29" i="27" s="1"/>
  <c r="C30" i="27" s="1"/>
  <c r="C31" i="27" s="1"/>
  <c r="C32" i="27" s="1"/>
  <c r="C33" i="27" s="1"/>
  <c r="C34" i="27" s="1"/>
  <c r="C35" i="27" s="1"/>
  <c r="C36" i="27" s="1"/>
  <c r="C37" i="27" s="1"/>
  <c r="C38" i="27" s="1"/>
  <c r="C39" i="27" s="1"/>
  <c r="C40" i="27" s="1"/>
  <c r="C41" i="27" s="1"/>
  <c r="C42" i="27" s="1"/>
  <c r="C43" i="27" s="1"/>
  <c r="D14" i="27"/>
  <c r="D15" i="27" s="1"/>
  <c r="D16" i="27" s="1"/>
  <c r="D17" i="27" s="1"/>
  <c r="D18" i="27" s="1"/>
  <c r="D19" i="27" s="1"/>
  <c r="D20" i="27" s="1"/>
  <c r="D21" i="27" s="1"/>
  <c r="D22" i="27" s="1"/>
  <c r="D23" i="27" s="1"/>
  <c r="D24" i="27" s="1"/>
  <c r="D25" i="27" s="1"/>
  <c r="D26" i="27" s="1"/>
  <c r="D27" i="27" s="1"/>
  <c r="D28" i="27" s="1"/>
  <c r="D29" i="27" s="1"/>
  <c r="D30" i="27" s="1"/>
  <c r="D31" i="27" s="1"/>
  <c r="D32" i="27" s="1"/>
  <c r="D33" i="27" s="1"/>
  <c r="D34" i="27" s="1"/>
  <c r="D35" i="27" s="1"/>
  <c r="D36" i="27" s="1"/>
  <c r="D37" i="27" s="1"/>
  <c r="D38" i="27" s="1"/>
  <c r="D39" i="27" s="1"/>
  <c r="D40" i="27" s="1"/>
  <c r="D41" i="27" s="1"/>
  <c r="D42" i="27" s="1"/>
  <c r="D43" i="27" s="1"/>
  <c r="F14" i="27"/>
  <c r="F15" i="27" s="1"/>
  <c r="F16" i="27" s="1"/>
  <c r="F17" i="27" s="1"/>
  <c r="F18" i="27" s="1"/>
  <c r="F19" i="27" s="1"/>
  <c r="F20" i="27" s="1"/>
  <c r="F21" i="27" s="1"/>
  <c r="F22" i="27" s="1"/>
  <c r="F23" i="27" s="1"/>
  <c r="F24" i="27" s="1"/>
  <c r="F25" i="27" s="1"/>
  <c r="F26" i="27" s="1"/>
  <c r="F27" i="27" s="1"/>
  <c r="F28" i="27" s="1"/>
  <c r="F29" i="27" s="1"/>
  <c r="F30" i="27" s="1"/>
  <c r="F31" i="27" s="1"/>
  <c r="F32" i="27" s="1"/>
  <c r="F33" i="27" s="1"/>
  <c r="F34" i="27" s="1"/>
  <c r="F35" i="27" s="1"/>
  <c r="F36" i="27" s="1"/>
  <c r="F37" i="27" s="1"/>
  <c r="F38" i="27" s="1"/>
  <c r="F39" i="27" s="1"/>
  <c r="F40" i="27" s="1"/>
  <c r="F41" i="27" s="1"/>
  <c r="F42" i="27" s="1"/>
  <c r="F43" i="27" s="1"/>
  <c r="E14" i="27"/>
  <c r="E15" i="27" s="1"/>
  <c r="E16" i="27" s="1"/>
  <c r="E17" i="27" s="1"/>
  <c r="E18" i="27" s="1"/>
  <c r="E19" i="27" s="1"/>
  <c r="E20" i="27" s="1"/>
  <c r="E21" i="27" s="1"/>
  <c r="E22" i="27" s="1"/>
  <c r="E23" i="27" s="1"/>
  <c r="E24" i="27" s="1"/>
  <c r="E25" i="27" s="1"/>
  <c r="E26" i="27" s="1"/>
  <c r="E27" i="27" s="1"/>
  <c r="E28" i="27" s="1"/>
  <c r="E29" i="27" s="1"/>
  <c r="E30" i="27" s="1"/>
  <c r="E31" i="27" s="1"/>
  <c r="E32" i="27" s="1"/>
  <c r="E33" i="27" s="1"/>
  <c r="E34" i="27" s="1"/>
  <c r="E35" i="27" s="1"/>
  <c r="E36" i="27" s="1"/>
  <c r="E37" i="27" s="1"/>
  <c r="E38" i="27" s="1"/>
  <c r="E39" i="27" s="1"/>
  <c r="E40" i="27" s="1"/>
  <c r="E41" i="27" s="1"/>
  <c r="E42" i="27" s="1"/>
  <c r="E43" i="27" s="1"/>
  <c r="C36" i="21"/>
  <c r="C35" i="21"/>
  <c r="C34" i="21"/>
  <c r="C33" i="21"/>
  <c r="C32" i="21"/>
  <c r="C31" i="21"/>
  <c r="C30" i="21"/>
  <c r="C29" i="21"/>
  <c r="C28" i="21"/>
  <c r="C27" i="21"/>
  <c r="C26" i="21"/>
  <c r="C25" i="21"/>
  <c r="C24" i="21"/>
  <c r="C23" i="21"/>
  <c r="C22" i="21"/>
  <c r="C21" i="21"/>
  <c r="C20" i="21"/>
  <c r="C19" i="21"/>
  <c r="C18" i="21"/>
  <c r="C17" i="21"/>
  <c r="C16" i="21"/>
  <c r="C15" i="21"/>
  <c r="C14" i="21"/>
  <c r="C13" i="21"/>
  <c r="C12" i="21"/>
  <c r="C11" i="21"/>
  <c r="C10" i="21"/>
  <c r="C9" i="21"/>
  <c r="C8" i="21"/>
  <c r="C7" i="21"/>
  <c r="C36" i="28"/>
  <c r="C35" i="28"/>
  <c r="C34" i="28"/>
  <c r="C33" i="28"/>
  <c r="C32" i="28"/>
  <c r="C31" i="28"/>
  <c r="C30" i="28"/>
  <c r="C29" i="28"/>
  <c r="C28" i="28"/>
  <c r="C27" i="28"/>
  <c r="C26" i="28"/>
  <c r="C25" i="28"/>
  <c r="C24" i="28"/>
  <c r="C23" i="28"/>
  <c r="C22" i="28"/>
  <c r="C21" i="28"/>
  <c r="C20" i="28"/>
  <c r="C19" i="28"/>
  <c r="C18" i="28"/>
  <c r="C17" i="28"/>
  <c r="C16" i="28"/>
  <c r="C15" i="28"/>
  <c r="C14" i="28"/>
  <c r="C13" i="28"/>
  <c r="C12" i="28"/>
  <c r="C11" i="28"/>
  <c r="C10" i="28"/>
  <c r="C9" i="28"/>
  <c r="C8" i="28"/>
  <c r="C7" i="28"/>
  <c r="D7" i="21"/>
  <c r="M32" i="29" l="1"/>
  <c r="M15" i="29"/>
  <c r="M30" i="29"/>
  <c r="M12" i="29"/>
  <c r="M20" i="29"/>
  <c r="M34" i="29"/>
  <c r="M35" i="29"/>
  <c r="M27" i="29"/>
  <c r="M29" i="29"/>
  <c r="M22" i="29"/>
  <c r="M11" i="29"/>
  <c r="M26" i="29"/>
  <c r="M13" i="29"/>
  <c r="M10" i="29"/>
  <c r="N10" i="29" s="1"/>
  <c r="M25" i="29"/>
  <c r="M36" i="29"/>
  <c r="M28" i="29"/>
  <c r="M17" i="29"/>
  <c r="M24" i="29"/>
  <c r="M23" i="29"/>
  <c r="M33" i="29"/>
  <c r="M21" i="29"/>
  <c r="M18" i="29"/>
  <c r="M16" i="29"/>
  <c r="M19" i="29"/>
  <c r="M31" i="29"/>
  <c r="M37" i="29"/>
  <c r="M14" i="29"/>
  <c r="T12" i="29"/>
  <c r="P12" i="29"/>
  <c r="X12" i="29"/>
  <c r="B13" i="29"/>
  <c r="D5" i="24"/>
  <c r="D4" i="24"/>
  <c r="D7" i="26"/>
  <c r="B7" i="28"/>
  <c r="B8" i="28" s="1"/>
  <c r="B9" i="28" s="1"/>
  <c r="B10" i="28" s="1"/>
  <c r="B11" i="28" s="1"/>
  <c r="B12" i="28" s="1"/>
  <c r="B13" i="28" s="1"/>
  <c r="B14" i="28" s="1"/>
  <c r="B15" i="28" s="1"/>
  <c r="B16" i="28" s="1"/>
  <c r="B17" i="28" s="1"/>
  <c r="B18" i="28" s="1"/>
  <c r="B19" i="28" s="1"/>
  <c r="B20" i="28" s="1"/>
  <c r="B21" i="28" s="1"/>
  <c r="B22" i="28" s="1"/>
  <c r="B23" i="28" s="1"/>
  <c r="B24" i="28" s="1"/>
  <c r="B25" i="28" s="1"/>
  <c r="B26" i="28" s="1"/>
  <c r="B27" i="28" s="1"/>
  <c r="B28" i="28" s="1"/>
  <c r="B29" i="28" s="1"/>
  <c r="B30" i="28" s="1"/>
  <c r="B31" i="28" s="1"/>
  <c r="B32" i="28" s="1"/>
  <c r="B33" i="28" s="1"/>
  <c r="B34" i="28" s="1"/>
  <c r="B35" i="28" s="1"/>
  <c r="B36" i="28" s="1"/>
  <c r="D36" i="28"/>
  <c r="D35" i="28"/>
  <c r="D34" i="28"/>
  <c r="D33" i="28"/>
  <c r="D32" i="28"/>
  <c r="D31" i="28"/>
  <c r="D30" i="28"/>
  <c r="E33" i="24" s="1"/>
  <c r="D29" i="28"/>
  <c r="D28" i="28"/>
  <c r="D27" i="28"/>
  <c r="D26" i="28"/>
  <c r="D25" i="28"/>
  <c r="D24" i="28"/>
  <c r="D23" i="28"/>
  <c r="D22" i="28"/>
  <c r="D21" i="28"/>
  <c r="D20" i="28"/>
  <c r="D19" i="28"/>
  <c r="D18" i="28"/>
  <c r="D17" i="28"/>
  <c r="D16" i="28"/>
  <c r="E19" i="24" s="1"/>
  <c r="D15" i="28"/>
  <c r="D14" i="28"/>
  <c r="D13" i="28"/>
  <c r="D12" i="28"/>
  <c r="D11" i="28"/>
  <c r="D10" i="28"/>
  <c r="D9" i="28"/>
  <c r="E12" i="24" s="1"/>
  <c r="D8" i="28"/>
  <c r="E11" i="24" s="1"/>
  <c r="D7" i="28"/>
  <c r="E10" i="24" s="1"/>
  <c r="F10" i="24" s="1"/>
  <c r="E7" i="26"/>
  <c r="F7" i="26" s="1"/>
  <c r="D3" i="26" s="1"/>
  <c r="E39" i="24"/>
  <c r="C39" i="24"/>
  <c r="E38" i="24"/>
  <c r="C38" i="24"/>
  <c r="E37" i="24"/>
  <c r="C37" i="24"/>
  <c r="E36" i="24"/>
  <c r="C36" i="24"/>
  <c r="E35" i="24"/>
  <c r="C35" i="24"/>
  <c r="E34" i="24"/>
  <c r="C34" i="24"/>
  <c r="C33" i="24"/>
  <c r="E32" i="24"/>
  <c r="C32" i="24"/>
  <c r="E31" i="24"/>
  <c r="C31" i="24"/>
  <c r="E30" i="24"/>
  <c r="C30" i="24"/>
  <c r="E29" i="24"/>
  <c r="C29" i="24"/>
  <c r="E28" i="24"/>
  <c r="C28" i="24"/>
  <c r="E27" i="24"/>
  <c r="C27" i="24"/>
  <c r="E26" i="24"/>
  <c r="C26" i="24"/>
  <c r="E25" i="24"/>
  <c r="C25" i="24"/>
  <c r="E24" i="24"/>
  <c r="C24" i="24"/>
  <c r="E23" i="24"/>
  <c r="C23" i="24"/>
  <c r="E22" i="24"/>
  <c r="C22" i="24"/>
  <c r="E21" i="24"/>
  <c r="C21" i="24"/>
  <c r="E20" i="24"/>
  <c r="C20" i="24"/>
  <c r="C19" i="24"/>
  <c r="E18" i="24"/>
  <c r="C18" i="24"/>
  <c r="E17" i="24"/>
  <c r="C17" i="24"/>
  <c r="E16" i="24"/>
  <c r="C16" i="24"/>
  <c r="E15" i="24"/>
  <c r="C15" i="24"/>
  <c r="E14" i="24"/>
  <c r="C14" i="24"/>
  <c r="E13" i="24"/>
  <c r="C13" i="24"/>
  <c r="C12" i="24"/>
  <c r="C11" i="24"/>
  <c r="C10" i="24"/>
  <c r="D10" i="24" s="1"/>
  <c r="N25" i="29" l="1"/>
  <c r="N32" i="29"/>
  <c r="N43" i="29"/>
  <c r="N31" i="29"/>
  <c r="N34" i="29"/>
  <c r="N18" i="29"/>
  <c r="N26" i="29"/>
  <c r="N21" i="29"/>
  <c r="N42" i="29"/>
  <c r="N33" i="29"/>
  <c r="N16" i="29"/>
  <c r="N40" i="29"/>
  <c r="N35" i="29"/>
  <c r="N27" i="29"/>
  <c r="N29" i="29"/>
  <c r="N14" i="29"/>
  <c r="N15" i="29"/>
  <c r="N44" i="29"/>
  <c r="N13" i="29"/>
  <c r="N28" i="29"/>
  <c r="N17" i="29"/>
  <c r="N38" i="29"/>
  <c r="N36" i="29"/>
  <c r="N11" i="29"/>
  <c r="N22" i="29"/>
  <c r="N12" i="29"/>
  <c r="N24" i="29"/>
  <c r="N23" i="29"/>
  <c r="N39" i="29"/>
  <c r="N19" i="29"/>
  <c r="N37" i="29"/>
  <c r="N41" i="29"/>
  <c r="N30" i="29"/>
  <c r="N20" i="29"/>
  <c r="J39" i="24"/>
  <c r="J25" i="24"/>
  <c r="J11" i="24"/>
  <c r="J22" i="24"/>
  <c r="J33" i="24"/>
  <c r="J18" i="24"/>
  <c r="J16" i="24"/>
  <c r="J27" i="24"/>
  <c r="J26" i="24"/>
  <c r="J38" i="24"/>
  <c r="J24" i="24"/>
  <c r="J36" i="24"/>
  <c r="J19" i="24"/>
  <c r="J32" i="24"/>
  <c r="J17" i="24"/>
  <c r="J30" i="24"/>
  <c r="J29" i="24"/>
  <c r="J14" i="24"/>
  <c r="J37" i="24"/>
  <c r="J23" i="24"/>
  <c r="J28" i="24"/>
  <c r="J13" i="24"/>
  <c r="J12" i="24"/>
  <c r="J35" i="24"/>
  <c r="J21" i="24"/>
  <c r="J34" i="24"/>
  <c r="J20" i="24"/>
  <c r="J31" i="24"/>
  <c r="J15" i="24"/>
  <c r="D39" i="24"/>
  <c r="D12" i="24"/>
  <c r="B14" i="29"/>
  <c r="X13" i="29"/>
  <c r="P13" i="29"/>
  <c r="T13" i="29"/>
  <c r="F22" i="24"/>
  <c r="F36" i="24"/>
  <c r="D25" i="24"/>
  <c r="D20" i="24"/>
  <c r="F30" i="24"/>
  <c r="D34" i="24"/>
  <c r="D29" i="24"/>
  <c r="F39" i="24"/>
  <c r="D24" i="24"/>
  <c r="F34" i="24"/>
  <c r="D38" i="24"/>
  <c r="D33" i="24"/>
  <c r="F21" i="24"/>
  <c r="F15" i="24"/>
  <c r="F20" i="24"/>
  <c r="F29" i="24"/>
  <c r="D14" i="24"/>
  <c r="F24" i="24"/>
  <c r="F17" i="24"/>
  <c r="D15" i="24"/>
  <c r="F25" i="24"/>
  <c r="D19" i="24"/>
  <c r="D28" i="24"/>
  <c r="F38" i="24"/>
  <c r="F19" i="24"/>
  <c r="D23" i="24"/>
  <c r="F33" i="24"/>
  <c r="D37" i="24"/>
  <c r="F14" i="24"/>
  <c r="D18" i="24"/>
  <c r="F28" i="24"/>
  <c r="D32" i="24"/>
  <c r="D21" i="24"/>
  <c r="D13" i="24"/>
  <c r="F23" i="24"/>
  <c r="F37" i="24"/>
  <c r="D11" i="24"/>
  <c r="F16" i="24"/>
  <c r="D27" i="24"/>
  <c r="F18" i="24"/>
  <c r="D22" i="24"/>
  <c r="F32" i="24"/>
  <c r="D36" i="24"/>
  <c r="D26" i="24"/>
  <c r="F11" i="24"/>
  <c r="F13" i="24"/>
  <c r="D17" i="24"/>
  <c r="F27" i="24"/>
  <c r="D31" i="24"/>
  <c r="D35" i="24"/>
  <c r="F31" i="24"/>
  <c r="F12" i="24"/>
  <c r="D16" i="24"/>
  <c r="F26" i="24"/>
  <c r="D30" i="24"/>
  <c r="F35" i="24"/>
  <c r="X14" i="29" l="1"/>
  <c r="P14" i="29"/>
  <c r="T14" i="29"/>
  <c r="B15" i="29"/>
  <c r="B16" i="29" l="1"/>
  <c r="X15" i="29"/>
  <c r="T15" i="29"/>
  <c r="P15" i="29"/>
  <c r="T16" i="29" l="1"/>
  <c r="X16" i="29"/>
  <c r="P16" i="29"/>
  <c r="B17" i="29"/>
  <c r="P17" i="29" l="1"/>
  <c r="B18" i="29"/>
  <c r="X17" i="29"/>
  <c r="T17" i="29"/>
  <c r="X18" i="29" l="1"/>
  <c r="B19" i="29"/>
  <c r="T18" i="29"/>
  <c r="P18" i="29"/>
  <c r="T19" i="29" l="1"/>
  <c r="P19" i="29"/>
  <c r="X19" i="29"/>
  <c r="B20" i="29"/>
  <c r="B21" i="29" l="1"/>
  <c r="X20" i="29"/>
  <c r="T20" i="29"/>
  <c r="P20" i="29"/>
  <c r="P21" i="29" l="1"/>
  <c r="X21" i="29"/>
  <c r="T21" i="29"/>
  <c r="B22" i="29"/>
  <c r="B23" i="29" l="1"/>
  <c r="T22" i="29"/>
  <c r="X22" i="29"/>
  <c r="P22" i="29"/>
  <c r="T23" i="29" l="1"/>
  <c r="X23" i="29"/>
  <c r="P23" i="29"/>
  <c r="B24" i="29"/>
  <c r="P24" i="29" l="1"/>
  <c r="B25" i="29"/>
  <c r="X24" i="29"/>
  <c r="T24" i="29"/>
  <c r="X25" i="29" l="1"/>
  <c r="B26" i="29"/>
  <c r="T25" i="29"/>
  <c r="P25" i="29"/>
  <c r="T26" i="29" l="1"/>
  <c r="P26" i="29"/>
  <c r="B27" i="29"/>
  <c r="X26" i="29"/>
  <c r="X27" i="29" l="1"/>
  <c r="B28" i="29"/>
  <c r="T27" i="29"/>
  <c r="P27" i="29"/>
  <c r="P28" i="29" l="1"/>
  <c r="X28" i="29"/>
  <c r="T28" i="29"/>
  <c r="B29" i="29"/>
  <c r="B30" i="29" l="1"/>
  <c r="P29" i="29"/>
  <c r="X29" i="29"/>
  <c r="T29" i="29"/>
  <c r="T30" i="29" l="1"/>
  <c r="X30" i="29"/>
  <c r="P30" i="29"/>
  <c r="B31" i="29"/>
  <c r="B32" i="29" l="1"/>
  <c r="P31" i="29"/>
  <c r="T31" i="29"/>
  <c r="X31" i="29"/>
  <c r="B33" i="29" l="1"/>
  <c r="X32" i="29"/>
  <c r="T32" i="29"/>
  <c r="P32" i="29"/>
  <c r="T33" i="29" l="1"/>
  <c r="P33" i="29"/>
  <c r="B34" i="29"/>
  <c r="X33" i="29"/>
  <c r="B35" i="29" l="1"/>
  <c r="X34" i="29"/>
  <c r="P34" i="29"/>
  <c r="T34" i="29"/>
  <c r="X35" i="29" l="1"/>
  <c r="P35" i="29"/>
  <c r="T35" i="29"/>
  <c r="B36" i="29"/>
  <c r="B37" i="29" l="1"/>
  <c r="P36" i="29"/>
  <c r="X36" i="29"/>
  <c r="T36" i="29"/>
  <c r="T37" i="29" l="1"/>
  <c r="X37" i="29"/>
  <c r="P37" i="29"/>
  <c r="B38" i="29"/>
  <c r="P38" i="29" l="1"/>
  <c r="B39" i="29"/>
  <c r="X38" i="29"/>
  <c r="T38" i="29"/>
  <c r="B40" i="29" l="1"/>
  <c r="X39" i="29"/>
  <c r="T39" i="29"/>
  <c r="P39" i="29"/>
  <c r="T40" i="29" l="1"/>
  <c r="P40" i="29"/>
  <c r="X40" i="29"/>
  <c r="B41" i="29"/>
  <c r="B42" i="29" l="1"/>
  <c r="X41" i="29"/>
  <c r="P41" i="29"/>
  <c r="T41" i="29"/>
  <c r="X42" i="29" l="1"/>
  <c r="P42" i="29"/>
  <c r="T42" i="29"/>
  <c r="B43" i="29"/>
  <c r="B44" i="29" l="1"/>
  <c r="T43" i="29"/>
  <c r="X43" i="29"/>
  <c r="P43" i="29"/>
  <c r="T44" i="29" l="1"/>
  <c r="X44" i="29"/>
  <c r="P44" i="29"/>
  <c r="D4" i="17" l="1"/>
  <c r="D5" i="17"/>
  <c r="B7" i="21" l="1"/>
  <c r="B8" i="21" s="1"/>
  <c r="B14" i="20"/>
  <c r="F4" i="20"/>
  <c r="F3" i="20"/>
  <c r="C14" i="20" l="1"/>
  <c r="C10" i="17" s="1"/>
  <c r="D10" i="17" s="1"/>
  <c r="B9" i="21"/>
  <c r="B10" i="21" s="1"/>
  <c r="B11" i="21" s="1"/>
  <c r="D14" i="20"/>
  <c r="E10" i="17" s="1"/>
  <c r="F10" i="17" s="1"/>
  <c r="B15" i="20"/>
  <c r="D15" i="20" l="1"/>
  <c r="E11" i="17" s="1"/>
  <c r="B12" i="21"/>
  <c r="C15" i="20"/>
  <c r="C11" i="17" s="1"/>
  <c r="B16" i="20"/>
  <c r="F11" i="17" l="1"/>
  <c r="D11" i="17"/>
  <c r="B13" i="21"/>
  <c r="C16" i="20"/>
  <c r="C12" i="17" s="1"/>
  <c r="C10" i="29" s="1"/>
  <c r="D10" i="29" s="1"/>
  <c r="D16" i="20"/>
  <c r="E12" i="17" s="1"/>
  <c r="E10" i="29" s="1"/>
  <c r="F10" i="29" s="1"/>
  <c r="B17" i="20"/>
  <c r="F12" i="17" l="1"/>
  <c r="D12" i="17"/>
  <c r="B14" i="21"/>
  <c r="C17" i="20"/>
  <c r="C13" i="17" s="1"/>
  <c r="C11" i="29" s="1"/>
  <c r="D17" i="20"/>
  <c r="E13" i="17" s="1"/>
  <c r="E11" i="29" s="1"/>
  <c r="B18" i="20"/>
  <c r="F11" i="29" l="1"/>
  <c r="D11" i="29"/>
  <c r="F13" i="17"/>
  <c r="D13" i="17"/>
  <c r="B15" i="21"/>
  <c r="D18" i="20"/>
  <c r="C18" i="20"/>
  <c r="B19" i="20"/>
  <c r="C14" i="17" l="1"/>
  <c r="C12" i="29" s="1"/>
  <c r="E14" i="17"/>
  <c r="E12" i="29" s="1"/>
  <c r="B16" i="21"/>
  <c r="D19" i="20"/>
  <c r="E15" i="17" s="1"/>
  <c r="E13" i="29" s="1"/>
  <c r="C19" i="20"/>
  <c r="C15" i="17" s="1"/>
  <c r="C13" i="29" s="1"/>
  <c r="B20" i="20"/>
  <c r="F12" i="29" l="1"/>
  <c r="F13" i="29"/>
  <c r="D12" i="29"/>
  <c r="D13" i="29"/>
  <c r="F14" i="17"/>
  <c r="F15" i="17"/>
  <c r="D15" i="17"/>
  <c r="D14" i="17"/>
  <c r="B17" i="21"/>
  <c r="C20" i="20"/>
  <c r="C16" i="17" s="1"/>
  <c r="D20" i="20"/>
  <c r="E16" i="17" s="1"/>
  <c r="B21" i="20"/>
  <c r="D16" i="17" l="1"/>
  <c r="C14" i="29"/>
  <c r="F16" i="17"/>
  <c r="E14" i="29"/>
  <c r="B18" i="21"/>
  <c r="C21" i="20"/>
  <c r="C17" i="17" s="1"/>
  <c r="C15" i="29" s="1"/>
  <c r="D21" i="20"/>
  <c r="E17" i="17" s="1"/>
  <c r="B22" i="20"/>
  <c r="F14" i="29" l="1"/>
  <c r="D15" i="29"/>
  <c r="D14" i="29"/>
  <c r="F17" i="17"/>
  <c r="E15" i="29"/>
  <c r="F15" i="29" s="1"/>
  <c r="D17" i="17"/>
  <c r="B19" i="21"/>
  <c r="D22" i="20"/>
  <c r="E18" i="17" s="1"/>
  <c r="C22" i="20"/>
  <c r="C18" i="17" s="1"/>
  <c r="B23" i="20"/>
  <c r="F18" i="17" l="1"/>
  <c r="E16" i="29"/>
  <c r="D18" i="17"/>
  <c r="C16" i="29"/>
  <c r="B20" i="21"/>
  <c r="D23" i="20"/>
  <c r="E19" i="17" s="1"/>
  <c r="C23" i="20"/>
  <c r="C19" i="17" s="1"/>
  <c r="B24" i="20"/>
  <c r="D16" i="29" l="1"/>
  <c r="F19" i="17"/>
  <c r="E17" i="29"/>
  <c r="D19" i="17"/>
  <c r="C17" i="29"/>
  <c r="D17" i="29" s="1"/>
  <c r="F16" i="29"/>
  <c r="B21" i="21"/>
  <c r="C24" i="20"/>
  <c r="D24" i="20"/>
  <c r="E20" i="17" s="1"/>
  <c r="B25" i="20"/>
  <c r="F20" i="17" l="1"/>
  <c r="E18" i="29"/>
  <c r="F17" i="29"/>
  <c r="C20" i="17"/>
  <c r="B22" i="21"/>
  <c r="C25" i="20"/>
  <c r="C21" i="17" s="1"/>
  <c r="D25" i="20"/>
  <c r="E21" i="17" s="1"/>
  <c r="B26" i="20"/>
  <c r="D21" i="17" l="1"/>
  <c r="C19" i="29"/>
  <c r="F21" i="17"/>
  <c r="E19" i="29"/>
  <c r="F19" i="29" s="1"/>
  <c r="F18" i="29"/>
  <c r="D20" i="17"/>
  <c r="C18" i="29"/>
  <c r="B23" i="21"/>
  <c r="D26" i="20"/>
  <c r="E22" i="17" s="1"/>
  <c r="C26" i="20"/>
  <c r="C22" i="17" s="1"/>
  <c r="B27" i="20"/>
  <c r="D19" i="29" l="1"/>
  <c r="D18" i="29"/>
  <c r="F22" i="17"/>
  <c r="E20" i="29"/>
  <c r="F20" i="29" s="1"/>
  <c r="D22" i="17"/>
  <c r="C20" i="29"/>
  <c r="D20" i="29" s="1"/>
  <c r="B24" i="21"/>
  <c r="C27" i="20"/>
  <c r="C23" i="17" s="1"/>
  <c r="D27" i="20"/>
  <c r="E23" i="17" s="1"/>
  <c r="B28" i="20"/>
  <c r="F23" i="17" l="1"/>
  <c r="E21" i="29"/>
  <c r="F21" i="29" s="1"/>
  <c r="D23" i="17"/>
  <c r="C21" i="29"/>
  <c r="D21" i="29" s="1"/>
  <c r="B25" i="21"/>
  <c r="C28" i="20"/>
  <c r="C24" i="17" s="1"/>
  <c r="D28" i="20"/>
  <c r="E24" i="17" s="1"/>
  <c r="B29" i="20"/>
  <c r="F24" i="17" l="1"/>
  <c r="E22" i="29"/>
  <c r="F22" i="29" s="1"/>
  <c r="D24" i="17"/>
  <c r="C22" i="29"/>
  <c r="D22" i="29" s="1"/>
  <c r="B26" i="21"/>
  <c r="D29" i="20"/>
  <c r="E25" i="17" s="1"/>
  <c r="C29" i="20"/>
  <c r="C25" i="17" s="1"/>
  <c r="B30" i="20"/>
  <c r="D25" i="17" l="1"/>
  <c r="C23" i="29"/>
  <c r="D23" i="29" s="1"/>
  <c r="F25" i="17"/>
  <c r="E23" i="29"/>
  <c r="F23" i="29" s="1"/>
  <c r="B27" i="21"/>
  <c r="D30" i="20"/>
  <c r="E26" i="17" s="1"/>
  <c r="C30" i="20"/>
  <c r="C26" i="17" s="1"/>
  <c r="B31" i="20"/>
  <c r="D26" i="17" l="1"/>
  <c r="C24" i="29"/>
  <c r="D24" i="29" s="1"/>
  <c r="F26" i="17"/>
  <c r="E24" i="29"/>
  <c r="F24" i="29" s="1"/>
  <c r="B28" i="21"/>
  <c r="C31" i="20"/>
  <c r="C27" i="17" s="1"/>
  <c r="D31" i="20"/>
  <c r="E27" i="17" s="1"/>
  <c r="B32" i="20"/>
  <c r="F27" i="17" l="1"/>
  <c r="E25" i="29"/>
  <c r="F25" i="29" s="1"/>
  <c r="D27" i="17"/>
  <c r="C25" i="29"/>
  <c r="D25" i="29" s="1"/>
  <c r="B29" i="21"/>
  <c r="C32" i="20"/>
  <c r="C28" i="17" s="1"/>
  <c r="D32" i="20"/>
  <c r="E28" i="17" s="1"/>
  <c r="B33" i="20"/>
  <c r="F28" i="17" l="1"/>
  <c r="E26" i="29"/>
  <c r="F26" i="29" s="1"/>
  <c r="D28" i="17"/>
  <c r="C26" i="29"/>
  <c r="D26" i="29" s="1"/>
  <c r="B30" i="21"/>
  <c r="C33" i="20"/>
  <c r="C29" i="17" s="1"/>
  <c r="D33" i="20"/>
  <c r="E29" i="17" s="1"/>
  <c r="B34" i="20"/>
  <c r="D29" i="17" l="1"/>
  <c r="C27" i="29"/>
  <c r="D27" i="29" s="1"/>
  <c r="F29" i="17"/>
  <c r="E27" i="29"/>
  <c r="F27" i="29" s="1"/>
  <c r="B31" i="21"/>
  <c r="D34" i="20"/>
  <c r="C34" i="20"/>
  <c r="B35" i="20"/>
  <c r="C30" i="17" l="1"/>
  <c r="E30" i="17"/>
  <c r="B32" i="21"/>
  <c r="D35" i="20"/>
  <c r="E31" i="17" s="1"/>
  <c r="C35" i="20"/>
  <c r="C31" i="17" s="1"/>
  <c r="B36" i="20"/>
  <c r="D31" i="17" l="1"/>
  <c r="C29" i="29"/>
  <c r="F31" i="17"/>
  <c r="E29" i="29"/>
  <c r="F30" i="17"/>
  <c r="E28" i="29"/>
  <c r="F28" i="29" s="1"/>
  <c r="D30" i="17"/>
  <c r="C28" i="29"/>
  <c r="D28" i="29" s="1"/>
  <c r="B33" i="21"/>
  <c r="C36" i="20"/>
  <c r="C32" i="17" s="1"/>
  <c r="D36" i="20"/>
  <c r="E32" i="17" s="1"/>
  <c r="B37" i="20"/>
  <c r="F32" i="17" l="1"/>
  <c r="E30" i="29"/>
  <c r="F30" i="29" s="1"/>
  <c r="D32" i="17"/>
  <c r="C30" i="29"/>
  <c r="D30" i="29" s="1"/>
  <c r="F29" i="29"/>
  <c r="D29" i="29"/>
  <c r="B34" i="21"/>
  <c r="C37" i="20"/>
  <c r="C33" i="17" s="1"/>
  <c r="D37" i="20"/>
  <c r="E33" i="17" s="1"/>
  <c r="B38" i="20"/>
  <c r="F33" i="17" l="1"/>
  <c r="E31" i="29"/>
  <c r="F31" i="29" s="1"/>
  <c r="D33" i="17"/>
  <c r="C31" i="29"/>
  <c r="D31" i="29" s="1"/>
  <c r="B35" i="21"/>
  <c r="D38" i="20"/>
  <c r="E34" i="17" s="1"/>
  <c r="C38" i="20"/>
  <c r="C34" i="17" s="1"/>
  <c r="B39" i="20"/>
  <c r="D34" i="17" l="1"/>
  <c r="C32" i="29"/>
  <c r="D32" i="29" s="1"/>
  <c r="F34" i="17"/>
  <c r="E32" i="29"/>
  <c r="F32" i="29" s="1"/>
  <c r="B36" i="21"/>
  <c r="D39" i="20"/>
  <c r="E35" i="17" s="1"/>
  <c r="C39" i="20"/>
  <c r="C35" i="17" s="1"/>
  <c r="B40" i="20"/>
  <c r="F35" i="17" l="1"/>
  <c r="E33" i="29"/>
  <c r="F33" i="29" s="1"/>
  <c r="D35" i="17"/>
  <c r="C33" i="29"/>
  <c r="D33" i="29" s="1"/>
  <c r="C40" i="20"/>
  <c r="C36" i="17" s="1"/>
  <c r="D40" i="20"/>
  <c r="E36" i="17" s="1"/>
  <c r="B41" i="20"/>
  <c r="F36" i="17" l="1"/>
  <c r="E34" i="29"/>
  <c r="F34" i="29" s="1"/>
  <c r="D36" i="17"/>
  <c r="C34" i="29"/>
  <c r="D34" i="29" s="1"/>
  <c r="C41" i="20"/>
  <c r="C37" i="17" s="1"/>
  <c r="D41" i="20"/>
  <c r="E37" i="17" s="1"/>
  <c r="B42" i="20"/>
  <c r="D37" i="17" l="1"/>
  <c r="C35" i="29"/>
  <c r="D35" i="29" s="1"/>
  <c r="F37" i="17"/>
  <c r="E35" i="29"/>
  <c r="F35" i="29" s="1"/>
  <c r="D42" i="20"/>
  <c r="E38" i="17" s="1"/>
  <c r="C42" i="20"/>
  <c r="C38" i="17" s="1"/>
  <c r="B43" i="20"/>
  <c r="D38" i="17" l="1"/>
  <c r="C36" i="29"/>
  <c r="D36" i="29" s="1"/>
  <c r="F38" i="17"/>
  <c r="E36" i="29"/>
  <c r="F36" i="29" s="1"/>
  <c r="C43" i="20"/>
  <c r="C39" i="17" s="1"/>
  <c r="D43" i="20"/>
  <c r="E39" i="17" s="1"/>
  <c r="D39" i="17" l="1"/>
  <c r="C37" i="29"/>
  <c r="C38" i="29" s="1"/>
  <c r="C39" i="29" s="1"/>
  <c r="C40" i="29" s="1"/>
  <c r="C41" i="29" s="1"/>
  <c r="C42" i="29" s="1"/>
  <c r="C43" i="29" s="1"/>
  <c r="C44" i="29" s="1"/>
  <c r="F39" i="17"/>
  <c r="E37" i="29"/>
  <c r="E38" i="29" s="1"/>
  <c r="E39" i="29" s="1"/>
  <c r="E40" i="29" s="1"/>
  <c r="E41" i="29" s="1"/>
  <c r="E42" i="29" s="1"/>
  <c r="E43" i="29" s="1"/>
  <c r="E44" i="29" s="1"/>
  <c r="F37" i="29" l="1"/>
  <c r="D37" i="29"/>
  <c r="D38" i="29" l="1"/>
  <c r="F38" i="29"/>
  <c r="D7" i="8"/>
  <c r="E7" i="8" s="1"/>
  <c r="F7" i="8" s="1"/>
  <c r="D3" i="8" s="1"/>
  <c r="D39" i="29" l="1"/>
  <c r="F39" i="29"/>
  <c r="F40" i="29" l="1"/>
  <c r="D40" i="29"/>
  <c r="D41" i="29" l="1"/>
  <c r="F41" i="29"/>
  <c r="F42" i="29" l="1"/>
  <c r="D42" i="29"/>
  <c r="D44" i="29" l="1"/>
  <c r="D43" i="29"/>
  <c r="F44" i="29"/>
  <c r="F43" i="29"/>
</calcChain>
</file>

<file path=xl/sharedStrings.xml><?xml version="1.0" encoding="utf-8"?>
<sst xmlns="http://schemas.openxmlformats.org/spreadsheetml/2006/main" count="433" uniqueCount="166">
  <si>
    <t>Filed:  2026-06-11, EB-2025-0295, Exhibit I.D-ED_GEC_PP-91, Attachment 1</t>
  </si>
  <si>
    <t>2027 Avoided Costs</t>
  </si>
  <si>
    <t>Best Available Total Natural Gas Sales (million m3)</t>
  </si>
  <si>
    <t>Discount Rate (real)</t>
  </si>
  <si>
    <t>EGD 2023</t>
  </si>
  <si>
    <t>Inflation Factor</t>
  </si>
  <si>
    <t>UG 2023</t>
  </si>
  <si>
    <t>Discount Rate (nominal)</t>
  </si>
  <si>
    <t>Total</t>
  </si>
  <si>
    <t>Gas Avoided Costs ($/m3) - Nominal $</t>
  </si>
  <si>
    <t>Avoided Carbon Costs ( $/m3)</t>
  </si>
  <si>
    <t>Water Avoided Costs ($/m3) - Nominal $</t>
  </si>
  <si>
    <t>Electricity Avoided Costs ($/KWh)
Nominal $</t>
  </si>
  <si>
    <t>Summer Peak - Electricity Avoided Costs ($/KW) - Nominal $</t>
  </si>
  <si>
    <t>Winter Peak Electricity Avoided Costs ($/KW) - Nominal $</t>
  </si>
  <si>
    <t>Baseload</t>
  </si>
  <si>
    <t>Weather Sensitive</t>
  </si>
  <si>
    <t>Year</t>
  </si>
  <si>
    <t>Rate</t>
  </si>
  <si>
    <t>NPV</t>
  </si>
  <si>
    <t>System Need</t>
  </si>
  <si>
    <t>Summer Peak</t>
  </si>
  <si>
    <t>Winter Peak</t>
  </si>
  <si>
    <t>Notes:</t>
  </si>
  <si>
    <t>1- Non-energy Benefits Adder is not added in the avoided costs. Its needs to be incorporated into TRC-Plus calculation.</t>
  </si>
  <si>
    <t xml:space="preserve">2- The shown NPV column is only applicable for the 2027 program year and is not applicable as the NPV for other program years. As described in Exhibit D, Tab 10, Schedule 1, page 5, the avoided costs shown in the "Rate" columns are proposed to be maintained and the adjustments for inflation will be reflected in the NPV calculation. </t>
  </si>
  <si>
    <t>Year one of the Avoided Costs table</t>
  </si>
  <si>
    <t>Inflation Factor to move into year 1</t>
  </si>
  <si>
    <t>Inflation Factor moving forward</t>
  </si>
  <si>
    <t>Real discount rate</t>
  </si>
  <si>
    <t>Discount Rate</t>
  </si>
  <si>
    <t>Based on 4% real discount rate</t>
  </si>
  <si>
    <t>U.S. $ to Canadian $ Exchange Rate</t>
  </si>
  <si>
    <t>Exchange rate for 2025 Budget provided by Financial Planing and Analysis Group</t>
  </si>
  <si>
    <t>GJ/m3 Natural Gas Conversion Factor</t>
  </si>
  <si>
    <t>Heat rate provided by Gas Supply</t>
  </si>
  <si>
    <t>MMBtu/m3 Natural Gas Conversion Factor</t>
  </si>
  <si>
    <t>2025 Avoided Costs - EGD Rate Zone</t>
  </si>
  <si>
    <t>Gas Avoided Costs ($/m3)</t>
  </si>
  <si>
    <t>Water Avoided Costs ($/m3)</t>
  </si>
  <si>
    <t>Electricity and Carbon listed in 2027 EGI Avoided Costs</t>
  </si>
  <si>
    <t xml:space="preserve">2025 Avoided Costs - UG Rate Zone </t>
  </si>
  <si>
    <t>2027 EGI Avoided Costs</t>
  </si>
  <si>
    <t>Initially prepared November 2025; Updated June 2026</t>
  </si>
  <si>
    <t>EGI</t>
  </si>
  <si>
    <t>Summary of Updates</t>
  </si>
  <si>
    <t>Avoided Cost Component</t>
  </si>
  <si>
    <t>Updated</t>
  </si>
  <si>
    <t>Electricity Avoided Costs</t>
  </si>
  <si>
    <t>Carbon Avoided Costs</t>
  </si>
  <si>
    <t>EGD</t>
  </si>
  <si>
    <t>SENDOUT Report</t>
  </si>
  <si>
    <t>ICF Natural Gas Strategic Prices</t>
  </si>
  <si>
    <t>Avoided Downstream Infrastructure Costs</t>
  </si>
  <si>
    <t>Avoided Unaccounted for Fuel Losses</t>
  </si>
  <si>
    <t>Avoided Water Costs</t>
  </si>
  <si>
    <t>UG</t>
  </si>
  <si>
    <t>Various, last updated June 2026</t>
  </si>
  <si>
    <t>Avoided Gas Commodity, and Upstream Transportation/Storage Costs</t>
  </si>
  <si>
    <t>Base Load 
$/m3</t>
  </si>
  <si>
    <t>Weather Sensitive $/m3</t>
  </si>
  <si>
    <t>Col. 1</t>
  </si>
  <si>
    <t>Col. 2</t>
  </si>
  <si>
    <t>Col. 3</t>
  </si>
  <si>
    <t>Item No.</t>
  </si>
  <si>
    <t>Base Case</t>
  </si>
  <si>
    <t>Demand (10 6 m3)</t>
  </si>
  <si>
    <t>Total Cost ($000)</t>
  </si>
  <si>
    <t>Average Cost ($/10 3m3)</t>
  </si>
  <si>
    <t>Seasonal Cost ($/103m3)</t>
  </si>
  <si>
    <t>Decrement in Baseload</t>
  </si>
  <si>
    <t>Demand Reduction (10 6 m3)</t>
  </si>
  <si>
    <t>Unit Avoided Gas Cost ($/10 3m3)</t>
  </si>
  <si>
    <t>Unit Avoided Seasonal Gas Cost ($/103m3)</t>
  </si>
  <si>
    <t>Decrement in Weather Sensitive</t>
  </si>
  <si>
    <t>Sendout gas costs adjusted by inflation and ICF Q4 2025 Natural Gas Strategic Gas Prices beyond year 2025</t>
  </si>
  <si>
    <r>
      <t>Levelized Distribution Cost for Baseload $/m3</t>
    </r>
    <r>
      <rPr>
        <vertAlign val="superscript"/>
        <sz val="10"/>
        <rFont val="Arial"/>
        <family val="2"/>
      </rPr>
      <t>1</t>
    </r>
  </si>
  <si>
    <t>Avoided Distribution Costs by Navigant dated Dec 2015 p. 26</t>
  </si>
  <si>
    <r>
      <t>Levelized Distribution Cost for Weather Sensitive $/m3</t>
    </r>
    <r>
      <rPr>
        <vertAlign val="superscript"/>
        <sz val="10"/>
        <rFont val="Arial"/>
        <family val="2"/>
      </rPr>
      <t>1</t>
    </r>
  </si>
  <si>
    <t>Year of Study</t>
  </si>
  <si>
    <t>Avoided Seasonal Storage Costs at Dawn for Baseload $/GJ</t>
  </si>
  <si>
    <t>Avoided Seasonal Storage Costs at Dawn for Weather Sensitive $/GJ</t>
  </si>
  <si>
    <t>Distribution</t>
  </si>
  <si>
    <t>Seasonal Storage at Dawn</t>
  </si>
  <si>
    <t>Baseload 
$/m3</t>
  </si>
  <si>
    <t>Weather Sensitive 
$/m3</t>
  </si>
  <si>
    <r>
      <rPr>
        <vertAlign val="superscript"/>
        <sz val="10"/>
        <rFont val="Arial"/>
        <family val="2"/>
      </rPr>
      <t>1</t>
    </r>
    <r>
      <rPr>
        <sz val="10"/>
        <rFont val="Arial"/>
        <family val="2"/>
      </rPr>
      <t xml:space="preserve"> The derivation of the avoided distribution costs is based on a proprietary model</t>
    </r>
  </si>
  <si>
    <t>Levelized Distribution Cost for Baseload $/m31</t>
  </si>
  <si>
    <t>Assessment of Union Gas Avoided Local Distribution System Infrastructure Costs by ICF dated June 2018 p. 35</t>
  </si>
  <si>
    <t>Levelized Distribution Cost for Weather Sensitive $/m31</t>
  </si>
  <si>
    <t>Cost: 2026 Rates (EB 2025-0163) - Appendix B. Storage Charge from Rate M1 Rate Schedule. 
3/10 Factor: Based on 2014 Union Gas load calculations, a DSM program targeting weather sensitive load will reduce the need for storage capacity by about 3 GJ’s for every 10 GJ of demand reduction. At a storage cost of $0.19 per GJ, each GJ reduction in demand attributed to a weather sensitive DSM program would save $0.06 per GJ. ($0.19/GJ sourced from Rebasing Application Rate Order - Appendix B. Storage Charge from Rate M1 Rate Schedule: EB-2011-0210)</t>
  </si>
  <si>
    <t>Unaccounted for Fuel Loss Rate</t>
  </si>
  <si>
    <t>UG rate zone number is used for EGD rate zone as well. This rate is updated in each years annual rates application.</t>
  </si>
  <si>
    <t>UG rate zone number is used for EGD rate zone as well. This rate is updated in each year's annual rates application.</t>
  </si>
  <si>
    <t>Table 1: 2025 APO Marginal Energy Costs and Capacity Costs (2024 Dollars)</t>
  </si>
  <si>
    <t>Marginal Energy Cost by Season and Time-of-Use Period (2024$/MWh)</t>
  </si>
  <si>
    <t>Capacity Costs 
(2024$/kW-yr)</t>
  </si>
  <si>
    <t>nominal dollars (2% inflation)</t>
  </si>
  <si>
    <t>Winter On Peak</t>
  </si>
  <si>
    <t>Winter Mid-Peak</t>
  </si>
  <si>
    <t>Winter Off-Peak</t>
  </si>
  <si>
    <t>Summer On Peak</t>
  </si>
  <si>
    <t>Summer Mid-Peak</t>
  </si>
  <si>
    <t>Summer Off-Peak</t>
  </si>
  <si>
    <t>Shoulder Mid-Peak</t>
  </si>
  <si>
    <t>Shoulder Off Peak</t>
  </si>
  <si>
    <t>Annual</t>
  </si>
  <si>
    <t>Annual $/kWh</t>
  </si>
  <si>
    <t>Annual $/kW</t>
  </si>
  <si>
    <t>Summer</t>
  </si>
  <si>
    <t>Winter</t>
  </si>
  <si>
    <t>Average Retail Rate</t>
  </si>
  <si>
    <t>Discounting factor based on 2015 audit finding</t>
  </si>
  <si>
    <t>Estimated Avoided Water</t>
  </si>
  <si>
    <t>Water Avoided Costs</t>
  </si>
  <si>
    <t>$/m3</t>
  </si>
  <si>
    <t>2023/2024 RESIDENTIAL WATER &amp; WASTEWATER RATES</t>
  </si>
  <si>
    <t>EGD Rate Zones</t>
  </si>
  <si>
    <t>Variable charges based on monthly consumption (m3)</t>
  </si>
  <si>
    <t>Variable Retail Rates for Water and Wastewater</t>
  </si>
  <si>
    <t>Variable Charges</t>
  </si>
  <si>
    <r>
      <t>m</t>
    </r>
    <r>
      <rPr>
        <vertAlign val="superscript"/>
        <sz val="10"/>
        <color theme="1"/>
        <rFont val="Arial"/>
        <family val="2"/>
      </rPr>
      <t>3</t>
    </r>
    <r>
      <rPr>
        <sz val="10"/>
        <color theme="1"/>
        <rFont val="Arial"/>
        <family val="2"/>
      </rPr>
      <t xml:space="preserve"> per tier</t>
    </r>
  </si>
  <si>
    <t>Water Rate ($/m3)</t>
  </si>
  <si>
    <t>Waste Water Rate ($/m3)</t>
  </si>
  <si>
    <t>Combined Rate ($/m3)</t>
  </si>
  <si>
    <t>Niagara</t>
  </si>
  <si>
    <t>Niagara Falls</t>
  </si>
  <si>
    <t>St. Catharines</t>
  </si>
  <si>
    <t>York</t>
  </si>
  <si>
    <t>Richmond Hill</t>
  </si>
  <si>
    <t>Vaughan</t>
  </si>
  <si>
    <t>Markham</t>
  </si>
  <si>
    <t>Toronto</t>
  </si>
  <si>
    <t>Ottawa</t>
  </si>
  <si>
    <t>Tier 1</t>
  </si>
  <si>
    <t>Tier 2</t>
  </si>
  <si>
    <t>Tier 3</t>
  </si>
  <si>
    <t>Population is based on the 2021 Census for municipalities representing the majority of the population in each region</t>
  </si>
  <si>
    <t>Population</t>
  </si>
  <si>
    <t>Weighted Combined Rate ($/m3)</t>
  </si>
  <si>
    <t>St. Catherines</t>
  </si>
  <si>
    <r>
      <t>Average Cost $/m</t>
    </r>
    <r>
      <rPr>
        <vertAlign val="superscript"/>
        <sz val="10"/>
        <rFont val="Arial"/>
        <family val="2"/>
      </rPr>
      <t>3</t>
    </r>
  </si>
  <si>
    <t>2024/2025 RESIDENTIAL WATER &amp; WASTEWATER RATES</t>
  </si>
  <si>
    <t>LUG Rate Zones</t>
  </si>
  <si>
    <t>City</t>
  </si>
  <si>
    <t>m3 per tier</t>
  </si>
  <si>
    <t>Burlington</t>
  </si>
  <si>
    <t xml:space="preserve">Cambridge </t>
  </si>
  <si>
    <t xml:space="preserve">Chatham </t>
  </si>
  <si>
    <t xml:space="preserve">Hamilton </t>
  </si>
  <si>
    <t>Kingston</t>
  </si>
  <si>
    <t>London</t>
  </si>
  <si>
    <t>North Bay</t>
  </si>
  <si>
    <t xml:space="preserve">Orillia </t>
  </si>
  <si>
    <t>Sarnia</t>
  </si>
  <si>
    <t xml:space="preserve">Sault Ste Marie </t>
  </si>
  <si>
    <t>Sudbury</t>
  </si>
  <si>
    <t xml:space="preserve">Thunder Bay </t>
  </si>
  <si>
    <t xml:space="preserve">Waterloo </t>
  </si>
  <si>
    <t>Windsor</t>
  </si>
  <si>
    <t>Average Cost $/m3</t>
  </si>
  <si>
    <t>Avoided Cost of Carbon</t>
  </si>
  <si>
    <t>$/tCO2e</t>
  </si>
  <si>
    <t>Cost of Carbon ($/m3)</t>
  </si>
  <si>
    <t>https://www.canada.ca/en/revenue-agency/services/forms-publications/publications/fcrates/fuel-charge-rates.html</t>
  </si>
  <si>
    <t>https://www.canada.ca/en/environment-climate-change/services/climate-change/pricing-pollution-how-it-will-work/carbon-pollution-pricing-federal-benchmark-information/federal-benchmark-2023-2030.html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</si>
</sst>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44" formatCode="_(&quot;$&quot;* #,##0.00_);_(&quot;$&quot;* \(#,##0.00\);_(&quot;$&quot;* &quot;-&quot;??_);_(@_)"/>
    <numFmt numFmtId="43" formatCode="_(* #,##0.00_);_(* \(#,##0.00\);_(* &quot;-&quot;??_);_(@_)"/>
    <numFmt numFmtId="164" formatCode="_-&quot;$&quot;* #,##0.00_-;\-&quot;$&quot;* #,##0.00_-;_-&quot;$&quot;* &quot;-&quot;??_-;_-@_-"/>
    <numFmt numFmtId="165" formatCode="_-* #,##0.00_-;\-* #,##0.00_-;_-* &quot;-&quot;??_-;_-@_-"/>
    <numFmt numFmtId="166" formatCode="#,##0.0"/>
    <numFmt numFmtId="167" formatCode="0.0"/>
    <numFmt numFmtId="168" formatCode="#,##0.00000"/>
    <numFmt numFmtId="169" formatCode="0.00000"/>
    <numFmt numFmtId="170" formatCode="0.000"/>
    <numFmt numFmtId="171" formatCode="0.0%"/>
    <numFmt numFmtId="172" formatCode="#.00;\-#.00;0.00"/>
    <numFmt numFmtId="173" formatCode="m/d/yyyy;;"/>
    <numFmt numFmtId="174" formatCode="#;;"/>
    <numFmt numFmtId="175" formatCode="#.00%;\-#.00%;0.00%;&quot;%&quot;"/>
    <numFmt numFmtId="176" formatCode="_-* #,##0_-;\-* #,##0_-;_-* &quot;-&quot;??_-;_-@_-"/>
    <numFmt numFmtId="177" formatCode="#,##0.000"/>
    <numFmt numFmtId="178" formatCode="0.000%"/>
    <numFmt numFmtId="179" formatCode="_-* #,##0.000000_-;\-* #,##0.000000_-;_-* &quot;-&quot;??_-;_-@_-"/>
    <numFmt numFmtId="180" formatCode="mmm\ yyyy"/>
    <numFmt numFmtId="181" formatCode="[$-409]d\-mmm\-yy;@"/>
    <numFmt numFmtId="182" formatCode="&quot;$&quot;#,##0"/>
    <numFmt numFmtId="183" formatCode="&quot;$&quot;#,##0.000"/>
    <numFmt numFmtId="184" formatCode="&quot;$&quot;#,##0.00"/>
    <numFmt numFmtId="185" formatCode="_-* #,##0.000_-;\-* #,##0.000_-;_-* &quot;-&quot;??_-;_-@_-"/>
    <numFmt numFmtId="186" formatCode="0_);\(0\)"/>
    <numFmt numFmtId="187" formatCode="0.0000"/>
    <numFmt numFmtId="188" formatCode="0.00000000"/>
    <numFmt numFmtId="189" formatCode="0.000000"/>
  </numFmts>
  <fonts count="6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b/>
      <sz val="10"/>
      <name val="Arial"/>
      <family val="2"/>
    </font>
    <font>
      <u/>
      <sz val="10"/>
      <name val="Arial"/>
      <family val="2"/>
    </font>
    <font>
      <sz val="8"/>
      <name val="Arial"/>
      <family val="2"/>
    </font>
    <font>
      <sz val="10"/>
      <name val="Arial"/>
      <family val="2"/>
    </font>
    <font>
      <sz val="11"/>
      <color theme="1"/>
      <name val="Calibri"/>
      <family val="2"/>
      <scheme val="minor"/>
    </font>
    <font>
      <b/>
      <sz val="10"/>
      <color indexed="8"/>
      <name val="ARIAL"/>
      <family val="2"/>
    </font>
    <font>
      <sz val="10"/>
      <color indexed="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theme="1"/>
      <name val="Calibri"/>
      <family val="2"/>
      <scheme val="minor"/>
    </font>
    <font>
      <b/>
      <u/>
      <sz val="10"/>
      <name val="Arial"/>
      <family val="2"/>
    </font>
    <font>
      <sz val="10"/>
      <name val="Arial"/>
      <family val="2"/>
    </font>
    <font>
      <sz val="11"/>
      <color rgb="FF000000"/>
      <name val="Calibri"/>
      <family val="2"/>
    </font>
    <font>
      <sz val="10"/>
      <color theme="1"/>
      <name val="Arial"/>
      <family val="2"/>
    </font>
    <font>
      <b/>
      <sz val="10"/>
      <color theme="1"/>
      <name val="Arial"/>
      <family val="2"/>
    </font>
    <font>
      <vertAlign val="superscript"/>
      <sz val="10"/>
      <name val="Arial"/>
      <family val="2"/>
    </font>
    <font>
      <b/>
      <sz val="10"/>
      <color theme="1"/>
      <name val="Tahoma"/>
      <family val="2"/>
    </font>
    <font>
      <b/>
      <sz val="14"/>
      <color theme="1"/>
      <name val="Tahoma"/>
      <family val="2"/>
    </font>
    <font>
      <sz val="10"/>
      <color theme="1"/>
      <name val="Tahoma"/>
      <family val="2"/>
    </font>
    <font>
      <sz val="10"/>
      <name val="Tahoma"/>
      <family val="2"/>
    </font>
    <font>
      <b/>
      <sz val="10"/>
      <name val="Tahoma"/>
      <family val="2"/>
    </font>
    <font>
      <sz val="10"/>
      <color rgb="FF000000"/>
      <name val="Arial"/>
      <family val="2"/>
    </font>
    <font>
      <sz val="11"/>
      <color rgb="FF006100"/>
      <name val="Calibri"/>
      <family val="2"/>
      <scheme val="minor"/>
    </font>
    <font>
      <u/>
      <sz val="10"/>
      <color theme="10"/>
      <name val="Arial"/>
      <family val="2"/>
    </font>
    <font>
      <u/>
      <sz val="10"/>
      <color theme="1"/>
      <name val="Arial"/>
      <family val="2"/>
    </font>
    <font>
      <vertAlign val="superscript"/>
      <sz val="10"/>
      <color theme="1"/>
      <name val="Arial"/>
      <family val="2"/>
    </font>
    <font>
      <i/>
      <sz val="10"/>
      <name val="Arial"/>
      <family val="2"/>
    </font>
    <font>
      <sz val="10"/>
      <color rgb="FFFF0000"/>
      <name val="Arial"/>
      <family val="2"/>
    </font>
    <font>
      <b/>
      <i/>
      <sz val="10"/>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patternFill>
    </fill>
    <fill>
      <patternFill patternType="solid">
        <fgColor rgb="FFC6EFCE"/>
      </patternFill>
    </fill>
  </fills>
  <borders count="62">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64"/>
      </right>
      <top style="thin">
        <color indexed="8"/>
      </top>
      <bottom/>
      <diagonal/>
    </border>
    <border>
      <left/>
      <right/>
      <top style="thin">
        <color indexed="8"/>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medium">
        <color indexed="64"/>
      </top>
      <bottom/>
      <diagonal/>
    </border>
    <border>
      <left/>
      <right style="medium">
        <color indexed="64"/>
      </right>
      <top/>
      <bottom/>
      <diagonal/>
    </border>
    <border>
      <left style="thin">
        <color indexed="8"/>
      </left>
      <right/>
      <top style="thin">
        <color indexed="8"/>
      </top>
      <bottom style="thin">
        <color indexed="8"/>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thin">
        <color indexed="64"/>
      </right>
      <top style="thin">
        <color indexed="64"/>
      </top>
      <bottom/>
      <diagonal/>
    </border>
    <border>
      <left style="thin">
        <color indexed="8"/>
      </left>
      <right/>
      <top/>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64"/>
      </left>
      <right style="thin">
        <color indexed="64"/>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8"/>
      </top>
      <bottom style="thin">
        <color indexed="8"/>
      </bottom>
      <diagonal/>
    </border>
    <border>
      <left style="thin">
        <color indexed="64"/>
      </left>
      <right/>
      <top style="thin">
        <color indexed="8"/>
      </top>
      <bottom/>
      <diagonal/>
    </border>
  </borders>
  <cellStyleXfs count="219">
    <xf numFmtId="0" fontId="0" fillId="0" borderId="0"/>
    <xf numFmtId="165" fontId="20" fillId="0" borderId="0" applyFont="0" applyFill="0" applyBorder="0" applyAlignment="0" applyProtection="0"/>
    <xf numFmtId="9" fontId="15" fillId="0" borderId="0" applyFont="0" applyFill="0" applyBorder="0" applyAlignment="0" applyProtection="0"/>
    <xf numFmtId="9" fontId="20" fillId="0" borderId="0" applyFont="0" applyFill="0" applyBorder="0" applyAlignment="0" applyProtection="0"/>
    <xf numFmtId="0" fontId="21" fillId="0" borderId="0"/>
    <xf numFmtId="165" fontId="21" fillId="0" borderId="0" applyFont="0" applyFill="0" applyBorder="0" applyAlignment="0" applyProtection="0"/>
    <xf numFmtId="0" fontId="20" fillId="0" borderId="0"/>
    <xf numFmtId="164" fontId="20" fillId="0" borderId="0" applyFont="0" applyFill="0" applyBorder="0" applyAlignment="0" applyProtection="0"/>
    <xf numFmtId="0" fontId="14" fillId="0" borderId="0"/>
    <xf numFmtId="165" fontId="14" fillId="0" borderId="0" applyFont="0" applyFill="0" applyBorder="0" applyAlignment="0" applyProtection="0"/>
    <xf numFmtId="9" fontId="14" fillId="0" borderId="0" applyFont="0" applyFill="0" applyBorder="0" applyAlignment="0" applyProtection="0"/>
    <xf numFmtId="0" fontId="15" fillId="0" borderId="0"/>
    <xf numFmtId="165" fontId="15" fillId="0" borderId="0" applyFont="0" applyFill="0" applyBorder="0" applyAlignment="0" applyProtection="0"/>
    <xf numFmtId="0" fontId="13" fillId="0" borderId="0"/>
    <xf numFmtId="165" fontId="13" fillId="0" borderId="0" applyFont="0" applyFill="0" applyBorder="0" applyAlignment="0" applyProtection="0"/>
    <xf numFmtId="0" fontId="13" fillId="0" borderId="0"/>
    <xf numFmtId="0" fontId="16" fillId="0" borderId="0"/>
    <xf numFmtId="9" fontId="16" fillId="0" borderId="0" applyFont="0" applyFill="0" applyBorder="0" applyAlignment="0" applyProtection="0"/>
    <xf numFmtId="0" fontId="23" fillId="0" borderId="0">
      <alignment vertical="top"/>
    </xf>
    <xf numFmtId="164" fontId="23" fillId="0" borderId="0" applyFont="0" applyFill="0" applyBorder="0" applyAlignment="0" applyProtection="0"/>
    <xf numFmtId="9" fontId="23" fillId="0" borderId="0" applyFont="0" applyFill="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7" fillId="20" borderId="5" applyNumberFormat="0" applyAlignment="0" applyProtection="0"/>
    <xf numFmtId="0" fontId="27" fillId="20" borderId="5" applyNumberFormat="0" applyAlignment="0" applyProtection="0"/>
    <xf numFmtId="0" fontId="28" fillId="21" borderId="6" applyNumberFormat="0" applyAlignment="0" applyProtection="0"/>
    <xf numFmtId="0" fontId="28" fillId="21" borderId="6" applyNumberFormat="0" applyAlignment="0" applyProtection="0"/>
    <xf numFmtId="165" fontId="16" fillId="0" borderId="0" applyFont="0" applyFill="0" applyBorder="0" applyAlignment="0" applyProtection="0"/>
    <xf numFmtId="164" fontId="16" fillId="0" borderId="0" applyFont="0" applyFill="0" applyBorder="0" applyAlignment="0" applyProtection="0"/>
    <xf numFmtId="164" fontId="23"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4" borderId="0" applyNumberFormat="0" applyBorder="0" applyAlignment="0" applyProtection="0"/>
    <xf numFmtId="0" fontId="30" fillId="4" borderId="0" applyNumberFormat="0" applyBorder="0" applyAlignment="0" applyProtection="0"/>
    <xf numFmtId="0" fontId="31" fillId="0" borderId="7" applyNumberFormat="0" applyFill="0" applyAlignment="0" applyProtection="0"/>
    <xf numFmtId="0" fontId="31" fillId="0" borderId="7"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7" borderId="5" applyNumberFormat="0" applyAlignment="0" applyProtection="0"/>
    <xf numFmtId="0" fontId="34" fillId="7" borderId="5" applyNumberFormat="0" applyAlignment="0" applyProtection="0"/>
    <xf numFmtId="0" fontId="35" fillId="0" borderId="10" applyNumberFormat="0" applyFill="0" applyAlignment="0" applyProtection="0"/>
    <xf numFmtId="0" fontId="35" fillId="0" borderId="10" applyNumberFormat="0" applyFill="0" applyAlignment="0" applyProtection="0"/>
    <xf numFmtId="0" fontId="36" fillId="22" borderId="0" applyNumberFormat="0" applyBorder="0" applyAlignment="0" applyProtection="0"/>
    <xf numFmtId="0" fontId="36" fillId="22" borderId="0" applyNumberFormat="0" applyBorder="0" applyAlignment="0" applyProtection="0"/>
    <xf numFmtId="0" fontId="23" fillId="0" borderId="0">
      <alignment vertical="top"/>
    </xf>
    <xf numFmtId="0" fontId="23" fillId="0" borderId="0">
      <alignment vertical="top"/>
    </xf>
    <xf numFmtId="0" fontId="16" fillId="0" borderId="0"/>
    <xf numFmtId="0" fontId="16" fillId="0" borderId="0"/>
    <xf numFmtId="0" fontId="16" fillId="0" borderId="0"/>
    <xf numFmtId="0" fontId="23" fillId="0" borderId="0">
      <alignment vertical="top"/>
    </xf>
    <xf numFmtId="0" fontId="16" fillId="0" borderId="0"/>
    <xf numFmtId="0" fontId="16" fillId="0" borderId="0"/>
    <xf numFmtId="0" fontId="16" fillId="23" borderId="11" applyNumberFormat="0" applyFont="0" applyAlignment="0" applyProtection="0"/>
    <xf numFmtId="0" fontId="16" fillId="23" borderId="11" applyNumberFormat="0" applyFont="0" applyAlignment="0" applyProtection="0"/>
    <xf numFmtId="0" fontId="37" fillId="20" borderId="12" applyNumberFormat="0" applyAlignment="0" applyProtection="0"/>
    <xf numFmtId="0" fontId="37" fillId="20" borderId="12" applyNumberFormat="0" applyAlignment="0" applyProtection="0"/>
    <xf numFmtId="9" fontId="16" fillId="0" borderId="0" applyFont="0" applyFill="0" applyBorder="0" applyAlignment="0" applyProtection="0"/>
    <xf numFmtId="9" fontId="16" fillId="0" borderId="0" applyFon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9" fillId="0" borderId="13" applyNumberFormat="0" applyFill="0" applyAlignment="0" applyProtection="0"/>
    <xf numFmtId="0" fontId="39" fillId="0" borderId="13" applyNumberFormat="0" applyFill="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3" fillId="0" borderId="0">
      <alignment vertical="top"/>
    </xf>
    <xf numFmtId="164" fontId="23" fillId="0" borderId="0" applyFont="0" applyFill="0" applyBorder="0" applyAlignment="0" applyProtection="0"/>
    <xf numFmtId="9" fontId="23" fillId="0" borderId="0" applyFont="0" applyFill="0" applyBorder="0" applyAlignment="0" applyProtection="0"/>
    <xf numFmtId="0" fontId="16" fillId="0" borderId="0"/>
    <xf numFmtId="164" fontId="23" fillId="0" borderId="0" applyFont="0" applyFill="0" applyBorder="0" applyAlignment="0" applyProtection="0"/>
    <xf numFmtId="0" fontId="23" fillId="0" borderId="0">
      <alignment vertical="top"/>
    </xf>
    <xf numFmtId="9" fontId="23" fillId="0" borderId="0" applyFont="0" applyFill="0" applyBorder="0" applyAlignment="0" applyProtection="0"/>
    <xf numFmtId="0" fontId="16" fillId="0" borderId="0"/>
    <xf numFmtId="0" fontId="13" fillId="0" borderId="0"/>
    <xf numFmtId="165" fontId="13" fillId="0" borderId="0" applyFont="0" applyFill="0" applyBorder="0" applyAlignment="0" applyProtection="0"/>
    <xf numFmtId="164" fontId="13" fillId="0" borderId="0" applyFont="0" applyFill="0" applyBorder="0" applyAlignment="0" applyProtection="0"/>
    <xf numFmtId="0" fontId="41" fillId="0" borderId="0"/>
    <xf numFmtId="165" fontId="13" fillId="0" borderId="0" applyFont="0" applyFill="0" applyBorder="0" applyAlignment="0" applyProtection="0"/>
    <xf numFmtId="0" fontId="16" fillId="0" borderId="0"/>
    <xf numFmtId="165" fontId="16" fillId="0" borderId="0" applyFont="0" applyFill="0" applyBorder="0" applyAlignment="0" applyProtection="0"/>
    <xf numFmtId="0" fontId="16" fillId="0" borderId="0"/>
    <xf numFmtId="9" fontId="13" fillId="0" borderId="0" applyFont="0" applyFill="0" applyBorder="0" applyAlignment="0" applyProtection="0"/>
    <xf numFmtId="164" fontId="13" fillId="0" borderId="0" applyFont="0" applyFill="0" applyBorder="0" applyAlignment="0" applyProtection="0"/>
    <xf numFmtId="0" fontId="12" fillId="0" borderId="0"/>
    <xf numFmtId="165" fontId="11" fillId="0" borderId="0" applyFont="0" applyFill="0" applyBorder="0" applyAlignment="0" applyProtection="0"/>
    <xf numFmtId="0" fontId="10" fillId="0" borderId="0"/>
    <xf numFmtId="165" fontId="43"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9" fontId="15" fillId="0" borderId="0" applyFont="0" applyFill="0" applyBorder="0" applyAlignment="0" applyProtection="0"/>
    <xf numFmtId="0" fontId="8" fillId="0" borderId="0"/>
    <xf numFmtId="165" fontId="8" fillId="0" borderId="0" applyFont="0" applyFill="0" applyBorder="0" applyAlignment="0" applyProtection="0"/>
    <xf numFmtId="164" fontId="15" fillId="0" borderId="0" applyFont="0" applyFill="0" applyBorder="0" applyAlignment="0" applyProtection="0"/>
    <xf numFmtId="0" fontId="8" fillId="0" borderId="0"/>
    <xf numFmtId="165" fontId="8" fillId="0" borderId="0" applyFont="0" applyFill="0" applyBorder="0" applyAlignment="0" applyProtection="0"/>
    <xf numFmtId="9" fontId="8" fillId="0" borderId="0" applyFont="0" applyFill="0" applyBorder="0" applyAlignment="0" applyProtection="0"/>
    <xf numFmtId="0" fontId="8" fillId="0" borderId="0"/>
    <xf numFmtId="165" fontId="8" fillId="0" borderId="0" applyFont="0" applyFill="0" applyBorder="0" applyAlignment="0" applyProtection="0"/>
    <xf numFmtId="0" fontId="8" fillId="0" borderId="0"/>
    <xf numFmtId="0" fontId="15" fillId="0" borderId="0"/>
    <xf numFmtId="9" fontId="15" fillId="0" borderId="0" applyFont="0" applyFill="0" applyBorder="0" applyAlignment="0" applyProtection="0"/>
    <xf numFmtId="165"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23" borderId="11" applyNumberFormat="0" applyFont="0" applyAlignment="0" applyProtection="0"/>
    <xf numFmtId="0" fontId="15" fillId="23" borderId="11" applyNumberFormat="0" applyFont="0" applyAlignment="0" applyProtection="0"/>
    <xf numFmtId="9" fontId="15" fillId="0" borderId="0" applyFont="0" applyFill="0" applyBorder="0" applyAlignment="0" applyProtection="0"/>
    <xf numFmtId="9" fontId="15" fillId="0" borderId="0" applyFont="0" applyFill="0" applyBorder="0" applyAlignment="0" applyProtection="0"/>
    <xf numFmtId="0" fontId="15" fillId="0" borderId="0"/>
    <xf numFmtId="0" fontId="15" fillId="0" borderId="0"/>
    <xf numFmtId="0" fontId="8" fillId="0" borderId="0"/>
    <xf numFmtId="165" fontId="8" fillId="0" borderId="0" applyFont="0" applyFill="0" applyBorder="0" applyAlignment="0" applyProtection="0"/>
    <xf numFmtId="164" fontId="8" fillId="0" borderId="0" applyFont="0" applyFill="0" applyBorder="0" applyAlignment="0" applyProtection="0"/>
    <xf numFmtId="165" fontId="8" fillId="0" borderId="0" applyFont="0" applyFill="0" applyBorder="0" applyAlignment="0" applyProtection="0"/>
    <xf numFmtId="0" fontId="15" fillId="0" borderId="0"/>
    <xf numFmtId="165" fontId="15" fillId="0" borderId="0" applyFont="0" applyFill="0" applyBorder="0" applyAlignment="0" applyProtection="0"/>
    <xf numFmtId="9" fontId="8" fillId="0" borderId="0" applyFont="0" applyFill="0" applyBorder="0" applyAlignment="0" applyProtection="0"/>
    <xf numFmtId="164" fontId="8" fillId="0" borderId="0" applyFont="0" applyFill="0" applyBorder="0" applyAlignment="0" applyProtection="0"/>
    <xf numFmtId="0" fontId="8" fillId="0" borderId="0"/>
    <xf numFmtId="165"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7" fillId="0" borderId="0"/>
    <xf numFmtId="0" fontId="6" fillId="0" borderId="0"/>
    <xf numFmtId="9" fontId="44" fillId="0" borderId="0" applyFont="0" applyFill="0" applyBorder="0" applyAlignment="0" applyProtection="0"/>
    <xf numFmtId="172" fontId="6" fillId="0" borderId="0">
      <alignment horizontal="right"/>
    </xf>
    <xf numFmtId="43" fontId="6" fillId="0" borderId="0" applyFont="0" applyFill="0" applyBorder="0" applyAlignment="0" applyProtection="0"/>
    <xf numFmtId="0" fontId="6" fillId="0" borderId="0">
      <alignment horizontal="left"/>
    </xf>
    <xf numFmtId="44" fontId="6" fillId="0" borderId="0" applyFont="0" applyFill="0" applyBorder="0" applyAlignment="0" applyProtection="0"/>
    <xf numFmtId="173" fontId="6" fillId="0" borderId="0">
      <alignment horizontal="right"/>
    </xf>
    <xf numFmtId="174" fontId="6" fillId="0" borderId="0">
      <alignment horizontal="right"/>
    </xf>
    <xf numFmtId="0" fontId="6" fillId="0" borderId="0">
      <alignment horizontal="left"/>
    </xf>
    <xf numFmtId="0" fontId="6" fillId="0" borderId="0">
      <alignment horizontal="left"/>
    </xf>
    <xf numFmtId="0" fontId="6" fillId="0" borderId="0"/>
    <xf numFmtId="0" fontId="6" fillId="25" borderId="20"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alignment horizontal="left"/>
    </xf>
    <xf numFmtId="0" fontId="6" fillId="0" borderId="0">
      <alignment horizontal="left"/>
    </xf>
    <xf numFmtId="0" fontId="6" fillId="0" borderId="0">
      <alignment horizontal="left"/>
    </xf>
    <xf numFmtId="0" fontId="6" fillId="0" borderId="0">
      <alignment horizontal="left"/>
    </xf>
    <xf numFmtId="175" fontId="6" fillId="0" borderId="0">
      <alignment horizontal="right"/>
    </xf>
    <xf numFmtId="172" fontId="6" fillId="0" borderId="0">
      <alignment horizontal="right"/>
    </xf>
    <xf numFmtId="0" fontId="5" fillId="0" borderId="0"/>
    <xf numFmtId="0" fontId="4" fillId="0" borderId="0"/>
    <xf numFmtId="0" fontId="3" fillId="0" borderId="0"/>
    <xf numFmtId="0" fontId="3" fillId="0" borderId="0"/>
    <xf numFmtId="0" fontId="3" fillId="0" borderId="0"/>
    <xf numFmtId="0" fontId="2" fillId="0" borderId="0"/>
    <xf numFmtId="0" fontId="2" fillId="0" borderId="0"/>
    <xf numFmtId="9" fontId="2" fillId="0" borderId="0" applyFont="0" applyFill="0" applyBorder="0" applyAlignment="0" applyProtection="0"/>
    <xf numFmtId="0" fontId="54" fillId="26" borderId="0" applyNumberFormat="0" applyBorder="0" applyAlignment="0" applyProtection="0"/>
    <xf numFmtId="0" fontId="55" fillId="0" borderId="0" applyNumberFormat="0" applyFill="0" applyBorder="0" applyAlignment="0" applyProtection="0"/>
    <xf numFmtId="0" fontId="1" fillId="0" borderId="0"/>
    <xf numFmtId="0" fontId="1" fillId="0" borderId="0"/>
    <xf numFmtId="0" fontId="1" fillId="0" borderId="0"/>
    <xf numFmtId="0" fontId="1" fillId="0" borderId="0"/>
  </cellStyleXfs>
  <cellXfs count="418">
    <xf numFmtId="0" fontId="0" fillId="0" borderId="0" xfId="0"/>
    <xf numFmtId="0" fontId="15" fillId="0" borderId="0" xfId="0" applyFont="1"/>
    <xf numFmtId="0" fontId="15" fillId="0" borderId="16" xfId="0" applyFont="1" applyBorder="1" applyAlignment="1">
      <alignment horizontal="center"/>
    </xf>
    <xf numFmtId="0" fontId="15" fillId="0" borderId="19" xfId="0" applyFont="1" applyBorder="1" applyAlignment="1">
      <alignment horizontal="center"/>
    </xf>
    <xf numFmtId="0" fontId="15" fillId="0" borderId="16" xfId="0" applyFont="1" applyBorder="1"/>
    <xf numFmtId="0" fontId="15" fillId="0" borderId="1" xfId="0" applyFont="1" applyBorder="1"/>
    <xf numFmtId="0" fontId="15" fillId="0" borderId="18" xfId="0" applyFont="1" applyBorder="1"/>
    <xf numFmtId="0" fontId="15" fillId="0" borderId="0" xfId="11"/>
    <xf numFmtId="176" fontId="15" fillId="0" borderId="0" xfId="139" applyNumberFormat="1" applyFont="1" applyFill="1" applyBorder="1"/>
    <xf numFmtId="3" fontId="15" fillId="0" borderId="0" xfId="0" applyNumberFormat="1" applyFont="1"/>
    <xf numFmtId="168" fontId="15" fillId="0" borderId="0" xfId="0" applyNumberFormat="1" applyFont="1"/>
    <xf numFmtId="2" fontId="15" fillId="0" borderId="0" xfId="0" applyNumberFormat="1" applyFont="1"/>
    <xf numFmtId="166" fontId="15" fillId="0" borderId="0" xfId="0" applyNumberFormat="1" applyFont="1"/>
    <xf numFmtId="167" fontId="15" fillId="0" borderId="0" xfId="0" applyNumberFormat="1" applyFont="1"/>
    <xf numFmtId="0" fontId="45" fillId="0" borderId="0" xfId="138" applyFont="1"/>
    <xf numFmtId="0" fontId="15" fillId="0" borderId="0" xfId="0" applyFont="1" applyAlignment="1">
      <alignment wrapText="1"/>
    </xf>
    <xf numFmtId="0" fontId="15" fillId="0" borderId="14" xfId="0" applyFont="1" applyBorder="1"/>
    <xf numFmtId="0" fontId="15" fillId="0" borderId="0" xfId="0" applyFont="1" applyAlignment="1">
      <alignment horizontal="center"/>
    </xf>
    <xf numFmtId="0" fontId="15" fillId="0" borderId="14" xfId="0" applyFont="1" applyBorder="1" applyAlignment="1">
      <alignment horizontal="center"/>
    </xf>
    <xf numFmtId="0" fontId="42" fillId="0" borderId="16" xfId="0" applyFont="1" applyBorder="1"/>
    <xf numFmtId="1" fontId="18" fillId="0" borderId="0" xfId="0" applyNumberFormat="1" applyFont="1" applyAlignment="1">
      <alignment horizontal="center"/>
    </xf>
    <xf numFmtId="1" fontId="18" fillId="0" borderId="14" xfId="0" applyNumberFormat="1" applyFont="1" applyBorder="1" applyAlignment="1">
      <alignment horizontal="center"/>
    </xf>
    <xf numFmtId="0" fontId="15" fillId="0" borderId="19" xfId="0" applyFont="1" applyBorder="1"/>
    <xf numFmtId="0" fontId="17" fillId="0" borderId="19" xfId="0" applyFont="1" applyBorder="1" applyAlignment="1">
      <alignment horizontal="center"/>
    </xf>
    <xf numFmtId="0" fontId="17" fillId="0" borderId="1" xfId="0" applyFont="1" applyBorder="1"/>
    <xf numFmtId="0" fontId="17" fillId="0" borderId="16" xfId="0" applyFont="1" applyBorder="1" applyAlignment="1">
      <alignment horizontal="center"/>
    </xf>
    <xf numFmtId="0" fontId="17" fillId="0" borderId="0" xfId="0" applyFont="1" applyAlignment="1">
      <alignment wrapText="1"/>
    </xf>
    <xf numFmtId="169" fontId="15" fillId="0" borderId="0" xfId="0" applyNumberFormat="1" applyFont="1" applyAlignment="1">
      <alignment horizontal="center"/>
    </xf>
    <xf numFmtId="170" fontId="15" fillId="0" borderId="0" xfId="0" applyNumberFormat="1" applyFont="1" applyAlignment="1">
      <alignment horizontal="center"/>
    </xf>
    <xf numFmtId="1" fontId="45" fillId="0" borderId="14" xfId="2" applyNumberFormat="1" applyFont="1" applyFill="1" applyBorder="1"/>
    <xf numFmtId="169" fontId="45" fillId="0" borderId="14" xfId="2" applyNumberFormat="1" applyFont="1" applyFill="1" applyBorder="1"/>
    <xf numFmtId="1" fontId="45" fillId="0" borderId="16" xfId="141" applyNumberFormat="1" applyFont="1" applyBorder="1" applyAlignment="1">
      <alignment horizontal="center"/>
    </xf>
    <xf numFmtId="170" fontId="15" fillId="0" borderId="14" xfId="0" applyNumberFormat="1" applyFont="1" applyBorder="1" applyAlignment="1">
      <alignment horizontal="center"/>
    </xf>
    <xf numFmtId="1" fontId="45" fillId="0" borderId="19" xfId="141" applyNumberFormat="1" applyFont="1" applyBorder="1" applyAlignment="1">
      <alignment horizontal="center"/>
    </xf>
    <xf numFmtId="170" fontId="15" fillId="0" borderId="1" xfId="0" applyNumberFormat="1" applyFont="1" applyBorder="1" applyAlignment="1">
      <alignment horizontal="center"/>
    </xf>
    <xf numFmtId="170" fontId="15" fillId="0" borderId="18" xfId="0" applyNumberFormat="1" applyFont="1" applyBorder="1" applyAlignment="1">
      <alignment horizontal="center"/>
    </xf>
    <xf numFmtId="0" fontId="15" fillId="0" borderId="19" xfId="0" applyFont="1" applyBorder="1" applyAlignment="1">
      <alignment horizontal="center" wrapText="1"/>
    </xf>
    <xf numFmtId="0" fontId="15" fillId="0" borderId="1" xfId="0" applyFont="1" applyBorder="1" applyAlignment="1">
      <alignment horizontal="center" wrapText="1"/>
    </xf>
    <xf numFmtId="0" fontId="15" fillId="0" borderId="18" xfId="0" applyFont="1" applyBorder="1" applyAlignment="1">
      <alignment horizontal="center" wrapText="1"/>
    </xf>
    <xf numFmtId="169" fontId="15" fillId="0" borderId="14" xfId="0" applyNumberFormat="1" applyFont="1" applyBorder="1" applyAlignment="1">
      <alignment horizontal="center"/>
    </xf>
    <xf numFmtId="169" fontId="15" fillId="0" borderId="1" xfId="0" applyNumberFormat="1" applyFont="1" applyBorder="1" applyAlignment="1">
      <alignment horizontal="center"/>
    </xf>
    <xf numFmtId="169" fontId="15" fillId="0" borderId="18" xfId="0" applyNumberFormat="1" applyFont="1" applyBorder="1" applyAlignment="1">
      <alignment horizontal="center"/>
    </xf>
    <xf numFmtId="1" fontId="23" fillId="0" borderId="15" xfId="99" applyNumberFormat="1" applyBorder="1" applyAlignment="1">
      <alignment horizontal="center" vertical="top"/>
    </xf>
    <xf numFmtId="1" fontId="23" fillId="0" borderId="17" xfId="99" applyNumberFormat="1" applyBorder="1" applyAlignment="1">
      <alignment horizontal="center" vertical="top"/>
    </xf>
    <xf numFmtId="0" fontId="23" fillId="0" borderId="4" xfId="99" applyBorder="1">
      <alignment vertical="top"/>
    </xf>
    <xf numFmtId="0" fontId="23" fillId="0" borderId="0" xfId="99">
      <alignment vertical="top"/>
    </xf>
    <xf numFmtId="10" fontId="23" fillId="0" borderId="0" xfId="99" applyNumberFormat="1">
      <alignment vertical="top"/>
    </xf>
    <xf numFmtId="177" fontId="23" fillId="0" borderId="16" xfId="99" applyNumberFormat="1" applyBorder="1" applyAlignment="1">
      <alignment horizontal="center" vertical="top"/>
    </xf>
    <xf numFmtId="177" fontId="23" fillId="0" borderId="19" xfId="99" applyNumberFormat="1" applyBorder="1" applyAlignment="1">
      <alignment horizontal="center" vertical="top"/>
    </xf>
    <xf numFmtId="0" fontId="15" fillId="0" borderId="4" xfId="0" applyFont="1" applyBorder="1"/>
    <xf numFmtId="0" fontId="22" fillId="0" borderId="21" xfId="99" applyFont="1" applyBorder="1" applyAlignment="1">
      <alignment horizontal="center" vertical="top" wrapText="1" readingOrder="1"/>
    </xf>
    <xf numFmtId="0" fontId="15" fillId="0" borderId="0" xfId="0" applyFont="1" applyProtection="1">
      <protection locked="0"/>
    </xf>
    <xf numFmtId="170" fontId="15" fillId="0" borderId="16" xfId="0" applyNumberFormat="1" applyFont="1" applyBorder="1" applyAlignment="1">
      <alignment horizontal="center"/>
    </xf>
    <xf numFmtId="170" fontId="15" fillId="0" borderId="19" xfId="0" applyNumberFormat="1" applyFont="1" applyBorder="1" applyAlignment="1">
      <alignment horizontal="center"/>
    </xf>
    <xf numFmtId="179" fontId="15" fillId="0" borderId="0" xfId="139" applyNumberFormat="1" applyFont="1" applyFill="1" applyBorder="1"/>
    <xf numFmtId="165" fontId="45" fillId="0" borderId="14" xfId="139" applyFont="1" applyFill="1" applyBorder="1"/>
    <xf numFmtId="165" fontId="15" fillId="0" borderId="0" xfId="139" applyFont="1" applyFill="1" applyBorder="1" applyAlignment="1">
      <alignment horizontal="center"/>
    </xf>
    <xf numFmtId="165" fontId="15" fillId="0" borderId="14" xfId="139" applyFont="1" applyFill="1" applyBorder="1" applyAlignment="1">
      <alignment horizontal="center"/>
    </xf>
    <xf numFmtId="165" fontId="15" fillId="0" borderId="1" xfId="139" applyFont="1" applyFill="1" applyBorder="1" applyAlignment="1">
      <alignment horizontal="center"/>
    </xf>
    <xf numFmtId="165" fontId="15" fillId="0" borderId="18" xfId="139" applyFont="1" applyFill="1" applyBorder="1" applyAlignment="1">
      <alignment horizontal="center"/>
    </xf>
    <xf numFmtId="176" fontId="15" fillId="0" borderId="0" xfId="139" applyNumberFormat="1" applyFont="1" applyFill="1"/>
    <xf numFmtId="1" fontId="15" fillId="0" borderId="0" xfId="0" applyNumberFormat="1" applyFont="1"/>
    <xf numFmtId="10" fontId="23" fillId="0" borderId="0" xfId="99" applyNumberFormat="1" applyAlignment="1">
      <alignment horizontal="right" vertical="top"/>
    </xf>
    <xf numFmtId="0" fontId="45" fillId="0" borderId="0" xfId="141" applyFont="1"/>
    <xf numFmtId="169" fontId="45" fillId="0" borderId="0" xfId="141" applyNumberFormat="1" applyFont="1"/>
    <xf numFmtId="10" fontId="23" fillId="0" borderId="0" xfId="99" applyNumberFormat="1" applyAlignment="1">
      <alignment horizontal="left" vertical="top"/>
    </xf>
    <xf numFmtId="0" fontId="0" fillId="0" borderId="16" xfId="0" applyBorder="1"/>
    <xf numFmtId="0" fontId="0" fillId="0" borderId="19" xfId="0" applyBorder="1"/>
    <xf numFmtId="180" fontId="0" fillId="0" borderId="14" xfId="0" applyNumberFormat="1" applyBorder="1" applyAlignment="1">
      <alignment horizontal="center"/>
    </xf>
    <xf numFmtId="180" fontId="0" fillId="0" borderId="18" xfId="0" applyNumberFormat="1" applyBorder="1" applyAlignment="1">
      <alignment horizontal="center"/>
    </xf>
    <xf numFmtId="0" fontId="17" fillId="0" borderId="0" xfId="0" applyFont="1"/>
    <xf numFmtId="0" fontId="17" fillId="0" borderId="0" xfId="11" applyFont="1"/>
    <xf numFmtId="0" fontId="46" fillId="0" borderId="0" xfId="138" applyFont="1"/>
    <xf numFmtId="10" fontId="15" fillId="0" borderId="21" xfId="99" applyNumberFormat="1" applyFont="1" applyBorder="1" applyAlignment="1">
      <alignment horizontal="right" vertical="top"/>
    </xf>
    <xf numFmtId="176" fontId="15" fillId="0" borderId="0" xfId="12" applyNumberFormat="1" applyFont="1" applyFill="1" applyBorder="1"/>
    <xf numFmtId="176" fontId="15" fillId="0" borderId="14" xfId="12" applyNumberFormat="1" applyFont="1" applyFill="1" applyBorder="1"/>
    <xf numFmtId="165" fontId="15" fillId="0" borderId="1" xfId="12" applyFont="1" applyFill="1" applyBorder="1"/>
    <xf numFmtId="165" fontId="15" fillId="0" borderId="18" xfId="12" applyFont="1" applyFill="1" applyBorder="1"/>
    <xf numFmtId="0" fontId="45" fillId="0" borderId="0" xfId="207" applyFont="1"/>
    <xf numFmtId="170" fontId="15" fillId="0" borderId="14" xfId="11" applyNumberFormat="1" applyBorder="1" applyAlignment="1">
      <alignment horizontal="center"/>
    </xf>
    <xf numFmtId="0" fontId="48" fillId="24" borderId="0" xfId="209" applyFont="1" applyFill="1" applyAlignment="1">
      <alignment vertical="center"/>
    </xf>
    <xf numFmtId="0" fontId="49" fillId="24" borderId="0" xfId="209" applyFont="1" applyFill="1" applyAlignment="1">
      <alignment vertical="center"/>
    </xf>
    <xf numFmtId="184" fontId="50" fillId="0" borderId="0" xfId="77" applyNumberFormat="1" applyFont="1" applyFill="1" applyBorder="1" applyAlignment="1" applyProtection="1">
      <alignment horizontal="center"/>
      <protection locked="0"/>
    </xf>
    <xf numFmtId="182" fontId="50" fillId="0" borderId="14" xfId="77" applyNumberFormat="1" applyFont="1" applyFill="1" applyBorder="1" applyAlignment="1" applyProtection="1">
      <alignment horizontal="center"/>
      <protection locked="0"/>
    </xf>
    <xf numFmtId="182" fontId="50" fillId="0" borderId="16" xfId="77" applyNumberFormat="1" applyFont="1" applyFill="1" applyBorder="1" applyAlignment="1" applyProtection="1">
      <alignment horizontal="center"/>
      <protection locked="0"/>
    </xf>
    <xf numFmtId="182" fontId="50" fillId="0" borderId="0" xfId="77" applyNumberFormat="1" applyFont="1" applyFill="1" applyBorder="1" applyAlignment="1" applyProtection="1">
      <alignment horizontal="center"/>
      <protection locked="0"/>
    </xf>
    <xf numFmtId="0" fontId="50" fillId="0" borderId="0" xfId="209" applyFont="1"/>
    <xf numFmtId="0" fontId="51" fillId="0" borderId="0" xfId="126" applyFont="1"/>
    <xf numFmtId="181" fontId="52" fillId="0" borderId="16" xfId="126" applyNumberFormat="1" applyFont="1" applyBorder="1" applyAlignment="1">
      <alignment horizontal="center" vertical="center"/>
    </xf>
    <xf numFmtId="181" fontId="52" fillId="0" borderId="19" xfId="126" applyNumberFormat="1" applyFont="1" applyBorder="1" applyAlignment="1">
      <alignment horizontal="centerContinuous" vertical="center"/>
    </xf>
    <xf numFmtId="181" fontId="52" fillId="0" borderId="1" xfId="126" applyNumberFormat="1" applyFont="1" applyBorder="1" applyAlignment="1">
      <alignment horizontal="centerContinuous" vertical="center"/>
    </xf>
    <xf numFmtId="181" fontId="52" fillId="0" borderId="22" xfId="126" applyNumberFormat="1" applyFont="1" applyBorder="1" applyAlignment="1">
      <alignment horizontal="center" vertical="center"/>
    </xf>
    <xf numFmtId="181" fontId="51" fillId="0" borderId="22" xfId="126" applyNumberFormat="1" applyFont="1" applyBorder="1" applyAlignment="1">
      <alignment horizontal="center" vertical="center" wrapText="1"/>
    </xf>
    <xf numFmtId="181" fontId="51" fillId="0" borderId="23" xfId="126" applyNumberFormat="1" applyFont="1" applyBorder="1" applyAlignment="1">
      <alignment horizontal="center" vertical="center" wrapText="1"/>
    </xf>
    <xf numFmtId="181" fontId="51" fillId="0" borderId="24" xfId="126" applyNumberFormat="1" applyFont="1" applyBorder="1" applyAlignment="1">
      <alignment horizontal="center" vertical="center" wrapText="1"/>
    </xf>
    <xf numFmtId="0" fontId="52" fillId="0" borderId="16" xfId="126" applyFont="1" applyBorder="1" applyAlignment="1" applyProtection="1">
      <alignment horizontal="center"/>
      <protection locked="0"/>
    </xf>
    <xf numFmtId="0" fontId="52" fillId="0" borderId="15" xfId="126" applyFont="1" applyBorder="1" applyAlignment="1" applyProtection="1">
      <alignment horizontal="center"/>
      <protection locked="0"/>
    </xf>
    <xf numFmtId="1" fontId="23" fillId="0" borderId="16" xfId="99" applyNumberFormat="1" applyBorder="1" applyAlignment="1">
      <alignment horizontal="center" vertical="top"/>
    </xf>
    <xf numFmtId="1" fontId="23" fillId="0" borderId="19" xfId="99" applyNumberFormat="1" applyBorder="1" applyAlignment="1">
      <alignment horizontal="center" vertical="top"/>
    </xf>
    <xf numFmtId="177" fontId="23" fillId="0" borderId="15" xfId="99" applyNumberFormat="1" applyBorder="1" applyAlignment="1">
      <alignment horizontal="center" vertical="top"/>
    </xf>
    <xf numFmtId="177" fontId="23" fillId="0" borderId="17" xfId="99" applyNumberFormat="1" applyBorder="1" applyAlignment="1">
      <alignment horizontal="center" vertical="top"/>
    </xf>
    <xf numFmtId="0" fontId="22" fillId="0" borderId="25" xfId="99" applyFont="1" applyBorder="1" applyAlignment="1">
      <alignment horizontal="center" vertical="top" wrapText="1" readingOrder="1"/>
    </xf>
    <xf numFmtId="170" fontId="23" fillId="0" borderId="26" xfId="12" applyNumberFormat="1" applyFont="1" applyFill="1" applyBorder="1" applyAlignment="1">
      <alignment horizontal="center" vertical="top"/>
    </xf>
    <xf numFmtId="170" fontId="23" fillId="0" borderId="14" xfId="12" applyNumberFormat="1" applyFont="1" applyFill="1" applyBorder="1" applyAlignment="1">
      <alignment horizontal="center" vertical="top"/>
    </xf>
    <xf numFmtId="170" fontId="23" fillId="0" borderId="18" xfId="12" applyNumberFormat="1" applyFont="1" applyFill="1" applyBorder="1" applyAlignment="1">
      <alignment horizontal="center" vertical="top"/>
    </xf>
    <xf numFmtId="0" fontId="22" fillId="0" borderId="26" xfId="99" applyFont="1" applyBorder="1" applyAlignment="1">
      <alignment horizontal="center" vertical="top" wrapText="1" readingOrder="1"/>
    </xf>
    <xf numFmtId="0" fontId="22" fillId="0" borderId="16" xfId="99" applyFont="1" applyBorder="1" applyAlignment="1">
      <alignment horizontal="center" vertical="top" wrapText="1" readingOrder="1"/>
    </xf>
    <xf numFmtId="170" fontId="15" fillId="0" borderId="0" xfId="11" applyNumberFormat="1" applyAlignment="1">
      <alignment horizontal="center"/>
    </xf>
    <xf numFmtId="170" fontId="15" fillId="0" borderId="1" xfId="11" applyNumberFormat="1" applyBorder="1" applyAlignment="1">
      <alignment horizontal="center"/>
    </xf>
    <xf numFmtId="0" fontId="15" fillId="0" borderId="4" xfId="11" applyBorder="1"/>
    <xf numFmtId="0" fontId="15" fillId="0" borderId="14" xfId="11" applyBorder="1"/>
    <xf numFmtId="0" fontId="15" fillId="0" borderId="35" xfId="11" applyBorder="1" applyAlignment="1">
      <alignment horizontal="center"/>
    </xf>
    <xf numFmtId="0" fontId="15" fillId="0" borderId="16" xfId="11" applyBorder="1" applyAlignment="1">
      <alignment horizontal="center"/>
    </xf>
    <xf numFmtId="0" fontId="15" fillId="0" borderId="14" xfId="11" applyBorder="1" applyAlignment="1">
      <alignment horizontal="center"/>
    </xf>
    <xf numFmtId="0" fontId="42" fillId="0" borderId="16" xfId="11" applyFont="1" applyBorder="1"/>
    <xf numFmtId="1" fontId="18" fillId="0" borderId="14" xfId="11" applyNumberFormat="1" applyFont="1" applyBorder="1" applyAlignment="1">
      <alignment horizontal="center"/>
    </xf>
    <xf numFmtId="0" fontId="22" fillId="0" borderId="0" xfId="99" applyFont="1" applyAlignment="1">
      <alignment horizontal="center" vertical="top" wrapText="1" readingOrder="1"/>
    </xf>
    <xf numFmtId="0" fontId="15" fillId="0" borderId="19" xfId="11" applyBorder="1"/>
    <xf numFmtId="0" fontId="15" fillId="0" borderId="1" xfId="11" applyBorder="1"/>
    <xf numFmtId="0" fontId="15" fillId="0" borderId="18" xfId="11" applyBorder="1"/>
    <xf numFmtId="177" fontId="23" fillId="0" borderId="0" xfId="99" applyNumberFormat="1" applyAlignment="1">
      <alignment horizontal="center" vertical="top"/>
    </xf>
    <xf numFmtId="0" fontId="17" fillId="0" borderId="16" xfId="11" applyFont="1" applyBorder="1" applyAlignment="1">
      <alignment horizontal="center"/>
    </xf>
    <xf numFmtId="170" fontId="23" fillId="0" borderId="0" xfId="12" applyNumberFormat="1" applyFont="1" applyFill="1" applyBorder="1" applyAlignment="1">
      <alignment horizontal="center" vertical="top"/>
    </xf>
    <xf numFmtId="176" fontId="15" fillId="0" borderId="0" xfId="12" applyNumberFormat="1" applyFont="1" applyFill="1"/>
    <xf numFmtId="3" fontId="15" fillId="0" borderId="0" xfId="11" applyNumberFormat="1"/>
    <xf numFmtId="168" fontId="15" fillId="0" borderId="0" xfId="11" applyNumberFormat="1"/>
    <xf numFmtId="2" fontId="15" fillId="0" borderId="0" xfId="11" applyNumberFormat="1"/>
    <xf numFmtId="166" fontId="15" fillId="0" borderId="0" xfId="11" applyNumberFormat="1"/>
    <xf numFmtId="167" fontId="15" fillId="0" borderId="0" xfId="11" applyNumberFormat="1"/>
    <xf numFmtId="0" fontId="15" fillId="0" borderId="16" xfId="11" applyBorder="1"/>
    <xf numFmtId="165" fontId="45" fillId="0" borderId="14" xfId="12" applyFont="1" applyFill="1" applyBorder="1"/>
    <xf numFmtId="186" fontId="45" fillId="0" borderId="14" xfId="12" applyNumberFormat="1" applyFont="1" applyFill="1" applyBorder="1"/>
    <xf numFmtId="169" fontId="23" fillId="0" borderId="14" xfId="12" applyNumberFormat="1" applyFont="1" applyFill="1" applyBorder="1" applyAlignment="1">
      <alignment horizontal="center" vertical="top"/>
    </xf>
    <xf numFmtId="0" fontId="15" fillId="0" borderId="0" xfId="11" applyAlignment="1">
      <alignment wrapText="1"/>
    </xf>
    <xf numFmtId="179" fontId="15" fillId="0" borderId="0" xfId="12" applyNumberFormat="1" applyFont="1" applyFill="1" applyBorder="1"/>
    <xf numFmtId="169" fontId="23" fillId="0" borderId="18" xfId="12" applyNumberFormat="1" applyFont="1" applyFill="1" applyBorder="1" applyAlignment="1">
      <alignment horizontal="center" vertical="top"/>
    </xf>
    <xf numFmtId="178" fontId="45" fillId="0" borderId="0" xfId="2" applyNumberFormat="1" applyFont="1" applyFill="1" applyBorder="1" applyAlignment="1">
      <alignment horizontal="right"/>
    </xf>
    <xf numFmtId="0" fontId="15" fillId="0" borderId="19" xfId="11" applyBorder="1" applyAlignment="1">
      <alignment horizontal="center" wrapText="1"/>
    </xf>
    <xf numFmtId="0" fontId="15" fillId="0" borderId="1" xfId="11" applyBorder="1" applyAlignment="1">
      <alignment horizontal="center" wrapText="1"/>
    </xf>
    <xf numFmtId="1" fontId="45" fillId="0" borderId="16" xfId="210" applyNumberFormat="1" applyFont="1" applyBorder="1" applyAlignment="1">
      <alignment horizontal="center"/>
    </xf>
    <xf numFmtId="169" fontId="15" fillId="0" borderId="0" xfId="11" applyNumberFormat="1" applyAlignment="1">
      <alignment horizontal="center"/>
    </xf>
    <xf numFmtId="1" fontId="45" fillId="0" borderId="19" xfId="210" applyNumberFormat="1" applyFont="1" applyBorder="1" applyAlignment="1">
      <alignment horizontal="center"/>
    </xf>
    <xf numFmtId="169" fontId="15" fillId="0" borderId="1" xfId="11" applyNumberFormat="1" applyBorder="1" applyAlignment="1">
      <alignment horizontal="center"/>
    </xf>
    <xf numFmtId="0" fontId="52" fillId="0" borderId="17" xfId="126" applyFont="1" applyBorder="1" applyAlignment="1" applyProtection="1">
      <alignment horizontal="center"/>
      <protection locked="0"/>
    </xf>
    <xf numFmtId="0" fontId="45" fillId="0" borderId="1" xfId="207" applyFont="1" applyBorder="1"/>
    <xf numFmtId="182" fontId="50" fillId="0" borderId="1" xfId="77" applyNumberFormat="1" applyFont="1" applyFill="1" applyBorder="1" applyAlignment="1" applyProtection="1">
      <alignment horizontal="center"/>
      <protection locked="0"/>
    </xf>
    <xf numFmtId="182" fontId="50" fillId="0" borderId="19" xfId="77" applyNumberFormat="1" applyFont="1" applyFill="1" applyBorder="1" applyAlignment="1" applyProtection="1">
      <alignment horizontal="center"/>
      <protection locked="0"/>
    </xf>
    <xf numFmtId="182" fontId="50" fillId="0" borderId="18" xfId="77" applyNumberFormat="1" applyFont="1" applyFill="1" applyBorder="1" applyAlignment="1" applyProtection="1">
      <alignment horizontal="center"/>
      <protection locked="0"/>
    </xf>
    <xf numFmtId="178" fontId="45" fillId="0" borderId="14" xfId="2" applyNumberFormat="1" applyFont="1" applyFill="1" applyBorder="1" applyAlignment="1">
      <alignment horizontal="right"/>
    </xf>
    <xf numFmtId="0" fontId="15" fillId="0" borderId="0" xfId="210" applyFont="1"/>
    <xf numFmtId="0" fontId="22" fillId="0" borderId="41" xfId="99" applyFont="1" applyBorder="1" applyAlignment="1">
      <alignment horizontal="center" vertical="top" wrapText="1" readingOrder="1"/>
    </xf>
    <xf numFmtId="1" fontId="45" fillId="0" borderId="15" xfId="99" applyNumberFormat="1" applyFont="1" applyBorder="1" applyAlignment="1">
      <alignment horizontal="center" vertical="top"/>
    </xf>
    <xf numFmtId="1" fontId="53" fillId="0" borderId="15" xfId="99" applyNumberFormat="1" applyFont="1" applyBorder="1" applyAlignment="1">
      <alignment horizontal="center" vertical="top"/>
    </xf>
    <xf numFmtId="177" fontId="53" fillId="0" borderId="16" xfId="99" applyNumberFormat="1" applyFont="1" applyBorder="1" applyAlignment="1">
      <alignment horizontal="center" vertical="top"/>
    </xf>
    <xf numFmtId="177" fontId="15" fillId="0" borderId="14" xfId="210" applyNumberFormat="1" applyFont="1" applyBorder="1" applyAlignment="1">
      <alignment horizontal="center"/>
    </xf>
    <xf numFmtId="3" fontId="15" fillId="0" borderId="14" xfId="210" applyNumberFormat="1" applyFont="1" applyBorder="1" applyAlignment="1">
      <alignment horizontal="center"/>
    </xf>
    <xf numFmtId="9" fontId="23" fillId="0" borderId="0" xfId="212" applyFont="1" applyAlignment="1">
      <alignment vertical="top"/>
    </xf>
    <xf numFmtId="9" fontId="15" fillId="0" borderId="0" xfId="212" applyFont="1"/>
    <xf numFmtId="171" fontId="23" fillId="0" borderId="0" xfId="212" applyNumberFormat="1" applyFont="1" applyAlignment="1">
      <alignment vertical="top"/>
    </xf>
    <xf numFmtId="0" fontId="15" fillId="0" borderId="0" xfId="11" applyAlignment="1">
      <alignment horizontal="center"/>
    </xf>
    <xf numFmtId="1" fontId="18" fillId="0" borderId="0" xfId="11" applyNumberFormat="1" applyFont="1" applyAlignment="1">
      <alignment horizontal="center"/>
    </xf>
    <xf numFmtId="0" fontId="22" fillId="0" borderId="21" xfId="99" applyFont="1" applyBorder="1">
      <alignment vertical="top"/>
    </xf>
    <xf numFmtId="10" fontId="23" fillId="0" borderId="21" xfId="99" applyNumberFormat="1" applyBorder="1">
      <alignment vertical="top"/>
    </xf>
    <xf numFmtId="3" fontId="15" fillId="0" borderId="18" xfId="210" applyNumberFormat="1" applyFont="1" applyBorder="1" applyAlignment="1">
      <alignment horizontal="center"/>
    </xf>
    <xf numFmtId="1" fontId="53" fillId="0" borderId="17" xfId="99" applyNumberFormat="1" applyFont="1" applyBorder="1" applyAlignment="1">
      <alignment horizontal="center" vertical="top"/>
    </xf>
    <xf numFmtId="177" fontId="53" fillId="0" borderId="19" xfId="99" applyNumberFormat="1" applyFont="1" applyBorder="1" applyAlignment="1">
      <alignment horizontal="center" vertical="top"/>
    </xf>
    <xf numFmtId="177" fontId="15" fillId="0" borderId="18" xfId="210" applyNumberFormat="1" applyFont="1" applyBorder="1" applyAlignment="1">
      <alignment horizontal="center"/>
    </xf>
    <xf numFmtId="0" fontId="22" fillId="0" borderId="4" xfId="99" applyFont="1" applyBorder="1">
      <alignment vertical="top"/>
    </xf>
    <xf numFmtId="0" fontId="17" fillId="0" borderId="0" xfId="99" applyFont="1">
      <alignment vertical="top"/>
    </xf>
    <xf numFmtId="0" fontId="22" fillId="0" borderId="0" xfId="99" applyFont="1">
      <alignment vertical="top"/>
    </xf>
    <xf numFmtId="0" fontId="22" fillId="0" borderId="27" xfId="99" applyFont="1" applyBorder="1" applyAlignment="1">
      <alignment horizontal="center" vertical="top" wrapText="1" readingOrder="1"/>
    </xf>
    <xf numFmtId="0" fontId="22" fillId="0" borderId="32" xfId="99" applyFont="1" applyBorder="1" applyAlignment="1">
      <alignment horizontal="center" vertical="top" wrapText="1" readingOrder="1"/>
    </xf>
    <xf numFmtId="10" fontId="23" fillId="0" borderId="21" xfId="99" applyNumberFormat="1" applyBorder="1" applyAlignment="1">
      <alignment horizontal="right" vertical="top"/>
    </xf>
    <xf numFmtId="182" fontId="45" fillId="0" borderId="14" xfId="77" applyNumberFormat="1" applyFont="1" applyFill="1" applyBorder="1" applyAlignment="1" applyProtection="1">
      <alignment horizontal="center"/>
      <protection locked="0"/>
    </xf>
    <xf numFmtId="4" fontId="23" fillId="0" borderId="16" xfId="99" applyNumberFormat="1" applyBorder="1" applyAlignment="1">
      <alignment horizontal="center" vertical="top"/>
    </xf>
    <xf numFmtId="171" fontId="23" fillId="0" borderId="0" xfId="99" applyNumberFormat="1">
      <alignment vertical="top"/>
    </xf>
    <xf numFmtId="4" fontId="23" fillId="0" borderId="19" xfId="99" applyNumberFormat="1" applyBorder="1" applyAlignment="1">
      <alignment horizontal="center" vertical="top"/>
    </xf>
    <xf numFmtId="182" fontId="45" fillId="0" borderId="18" xfId="77" applyNumberFormat="1" applyFont="1" applyFill="1" applyBorder="1" applyAlignment="1" applyProtection="1">
      <alignment horizontal="center"/>
      <protection locked="0"/>
    </xf>
    <xf numFmtId="0" fontId="15" fillId="0" borderId="2" xfId="210" applyFont="1" applyBorder="1" applyAlignment="1">
      <alignment vertical="center"/>
    </xf>
    <xf numFmtId="0" fontId="15" fillId="0" borderId="3" xfId="210" applyFont="1" applyBorder="1" applyAlignment="1">
      <alignment vertical="center"/>
    </xf>
    <xf numFmtId="0" fontId="15" fillId="0" borderId="39" xfId="210" applyFont="1" applyBorder="1" applyAlignment="1">
      <alignment vertical="center"/>
    </xf>
    <xf numFmtId="0" fontId="15" fillId="0" borderId="4" xfId="210" applyFont="1" applyBorder="1" applyAlignment="1">
      <alignment vertical="center"/>
    </xf>
    <xf numFmtId="3" fontId="15" fillId="0" borderId="0" xfId="210" applyNumberFormat="1" applyFont="1" applyAlignment="1">
      <alignment vertical="center"/>
    </xf>
    <xf numFmtId="10" fontId="15" fillId="0" borderId="40" xfId="210" applyNumberFormat="1" applyFont="1" applyBorder="1" applyAlignment="1">
      <alignment vertical="center"/>
    </xf>
    <xf numFmtId="0" fontId="15" fillId="0" borderId="42" xfId="210" applyFont="1" applyBorder="1" applyAlignment="1">
      <alignment vertical="center"/>
    </xf>
    <xf numFmtId="3" fontId="15" fillId="0" borderId="43" xfId="210" applyNumberFormat="1" applyFont="1" applyBorder="1" applyAlignment="1">
      <alignment vertical="center"/>
    </xf>
    <xf numFmtId="0" fontId="15" fillId="0" borderId="44" xfId="210" applyFont="1" applyBorder="1" applyAlignment="1">
      <alignment vertical="center"/>
    </xf>
    <xf numFmtId="181" fontId="17" fillId="0" borderId="17" xfId="211" applyNumberFormat="1" applyFont="1" applyBorder="1" applyAlignment="1">
      <alignment horizontal="center" vertical="center" wrapText="1"/>
    </xf>
    <xf numFmtId="180" fontId="15" fillId="0" borderId="14" xfId="0" applyNumberFormat="1" applyFont="1" applyBorder="1" applyAlignment="1">
      <alignment horizontal="center"/>
    </xf>
    <xf numFmtId="183" fontId="50" fillId="0" borderId="16" xfId="77" applyNumberFormat="1" applyFont="1" applyFill="1" applyBorder="1" applyAlignment="1" applyProtection="1">
      <alignment horizontal="center"/>
      <protection locked="0"/>
    </xf>
    <xf numFmtId="183" fontId="50" fillId="0" borderId="19" xfId="77" applyNumberFormat="1" applyFont="1" applyFill="1" applyBorder="1" applyAlignment="1" applyProtection="1">
      <alignment horizontal="center"/>
      <protection locked="0"/>
    </xf>
    <xf numFmtId="184" fontId="50" fillId="0" borderId="1" xfId="77" applyNumberFormat="1" applyFont="1" applyFill="1" applyBorder="1" applyAlignment="1" applyProtection="1">
      <alignment horizontal="center"/>
      <protection locked="0"/>
    </xf>
    <xf numFmtId="181" fontId="52" fillId="0" borderId="21" xfId="126" applyNumberFormat="1" applyFont="1" applyBorder="1" applyAlignment="1">
      <alignment horizontal="center" vertical="center" wrapText="1"/>
    </xf>
    <xf numFmtId="0" fontId="46" fillId="0" borderId="21" xfId="207" applyFont="1" applyBorder="1" applyAlignment="1">
      <alignment horizontal="center" vertical="center"/>
    </xf>
    <xf numFmtId="0" fontId="45" fillId="0" borderId="15" xfId="207" applyFont="1" applyBorder="1" applyAlignment="1">
      <alignment horizontal="center" vertical="center"/>
    </xf>
    <xf numFmtId="0" fontId="45" fillId="0" borderId="17" xfId="207" applyFont="1" applyBorder="1" applyAlignment="1">
      <alignment horizontal="center" vertical="center"/>
    </xf>
    <xf numFmtId="170" fontId="23" fillId="0" borderId="0" xfId="99" applyNumberFormat="1">
      <alignment vertical="top"/>
    </xf>
    <xf numFmtId="1" fontId="15" fillId="0" borderId="0" xfId="210" applyNumberFormat="1" applyFont="1"/>
    <xf numFmtId="1" fontId="45" fillId="0" borderId="35" xfId="215" applyNumberFormat="1" applyFont="1" applyBorder="1" applyAlignment="1">
      <alignment horizontal="center"/>
    </xf>
    <xf numFmtId="170" fontId="15" fillId="0" borderId="34" xfId="11" applyNumberFormat="1" applyBorder="1" applyAlignment="1">
      <alignment horizontal="center"/>
    </xf>
    <xf numFmtId="0" fontId="55" fillId="0" borderId="0" xfId="214" applyFill="1" applyBorder="1"/>
    <xf numFmtId="1" fontId="15" fillId="0" borderId="0" xfId="11" applyNumberFormat="1" applyAlignment="1">
      <alignment horizontal="center"/>
    </xf>
    <xf numFmtId="10" fontId="15" fillId="0" borderId="0" xfId="2" applyNumberFormat="1" applyFont="1" applyFill="1" applyBorder="1"/>
    <xf numFmtId="0" fontId="15" fillId="0" borderId="19" xfId="11" applyBorder="1" applyAlignment="1">
      <alignment horizontal="center"/>
    </xf>
    <xf numFmtId="1" fontId="15" fillId="0" borderId="1" xfId="11" applyNumberFormat="1" applyBorder="1" applyAlignment="1">
      <alignment horizontal="center"/>
    </xf>
    <xf numFmtId="170" fontId="15" fillId="0" borderId="18" xfId="11" applyNumberFormat="1" applyBorder="1" applyAlignment="1">
      <alignment horizontal="center"/>
    </xf>
    <xf numFmtId="0" fontId="45" fillId="0" borderId="0" xfId="11" applyFont="1"/>
    <xf numFmtId="0" fontId="45" fillId="0" borderId="16" xfId="11" applyFont="1" applyBorder="1"/>
    <xf numFmtId="0" fontId="45" fillId="0" borderId="14" xfId="11" applyFont="1" applyBorder="1"/>
    <xf numFmtId="0" fontId="45" fillId="0" borderId="0" xfId="11" applyFont="1" applyAlignment="1">
      <alignment horizontal="center"/>
    </xf>
    <xf numFmtId="0" fontId="45" fillId="0" borderId="16" xfId="11" applyFont="1" applyBorder="1" applyAlignment="1">
      <alignment horizontal="center" vertical="center"/>
    </xf>
    <xf numFmtId="0" fontId="45" fillId="0" borderId="16" xfId="11" applyFont="1" applyBorder="1" applyAlignment="1">
      <alignment horizontal="center"/>
    </xf>
    <xf numFmtId="0" fontId="45" fillId="0" borderId="0" xfId="217" applyFont="1"/>
    <xf numFmtId="0" fontId="45" fillId="0" borderId="16" xfId="217" applyFont="1" applyBorder="1"/>
    <xf numFmtId="9" fontId="45" fillId="0" borderId="14" xfId="217" applyNumberFormat="1" applyFont="1" applyBorder="1"/>
    <xf numFmtId="0" fontId="45" fillId="0" borderId="19" xfId="217" applyFont="1" applyBorder="1"/>
    <xf numFmtId="0" fontId="45" fillId="0" borderId="1" xfId="217" applyFont="1" applyBorder="1"/>
    <xf numFmtId="170" fontId="45" fillId="0" borderId="18" xfId="217" applyNumberFormat="1" applyFont="1" applyBorder="1"/>
    <xf numFmtId="1" fontId="15" fillId="0" borderId="16" xfId="11" applyNumberFormat="1" applyBorder="1" applyAlignment="1">
      <alignment horizontal="center"/>
    </xf>
    <xf numFmtId="0" fontId="45" fillId="0" borderId="0" xfId="218" applyFont="1"/>
    <xf numFmtId="0" fontId="45" fillId="0" borderId="14" xfId="217" applyFont="1" applyBorder="1" applyAlignment="1">
      <alignment horizontal="center"/>
    </xf>
    <xf numFmtId="0" fontId="15" fillId="0" borderId="21" xfId="217" applyFont="1" applyBorder="1" applyAlignment="1">
      <alignment horizontal="centerContinuous" vertical="center"/>
    </xf>
    <xf numFmtId="0" fontId="45" fillId="0" borderId="21" xfId="217" applyFont="1" applyBorder="1" applyAlignment="1">
      <alignment horizontal="center" vertical="center" wrapText="1"/>
    </xf>
    <xf numFmtId="0" fontId="15" fillId="0" borderId="21" xfId="217" applyFont="1" applyBorder="1" applyAlignment="1">
      <alignment horizontal="center" vertical="center" wrapText="1"/>
    </xf>
    <xf numFmtId="0" fontId="45" fillId="0" borderId="21" xfId="11" applyFont="1" applyBorder="1" applyAlignment="1">
      <alignment horizontal="left"/>
    </xf>
    <xf numFmtId="187" fontId="45" fillId="0" borderId="21" xfId="213" applyNumberFormat="1" applyFont="1" applyFill="1" applyBorder="1" applyAlignment="1">
      <alignment horizontal="center"/>
    </xf>
    <xf numFmtId="2" fontId="45" fillId="0" borderId="21" xfId="11" applyNumberFormat="1" applyFont="1" applyBorder="1" applyAlignment="1">
      <alignment horizontal="center"/>
    </xf>
    <xf numFmtId="187" fontId="45" fillId="0" borderId="21" xfId="11" applyNumberFormat="1" applyFont="1" applyBorder="1" applyAlignment="1">
      <alignment horizontal="center"/>
    </xf>
    <xf numFmtId="2" fontId="45" fillId="0" borderId="21" xfId="213" applyNumberFormat="1" applyFont="1" applyFill="1" applyBorder="1" applyAlignment="1">
      <alignment horizontal="center"/>
    </xf>
    <xf numFmtId="0" fontId="45" fillId="0" borderId="35" xfId="11" applyFont="1" applyBorder="1" applyAlignment="1">
      <alignment horizontal="center" vertical="center"/>
    </xf>
    <xf numFmtId="0" fontId="56" fillId="0" borderId="0" xfId="214" applyFont="1" applyFill="1" applyBorder="1" applyAlignment="1">
      <alignment horizontal="center" vertical="center"/>
    </xf>
    <xf numFmtId="187" fontId="45" fillId="0" borderId="14" xfId="11" applyNumberFormat="1" applyFont="1" applyBorder="1" applyAlignment="1">
      <alignment horizontal="center"/>
    </xf>
    <xf numFmtId="0" fontId="56" fillId="0" borderId="16" xfId="214" applyFont="1" applyFill="1" applyBorder="1" applyAlignment="1">
      <alignment horizontal="center"/>
    </xf>
    <xf numFmtId="0" fontId="56" fillId="0" borderId="0" xfId="214" applyFont="1" applyFill="1" applyBorder="1" applyAlignment="1">
      <alignment horizontal="center"/>
    </xf>
    <xf numFmtId="0" fontId="45" fillId="0" borderId="21" xfId="214" applyFont="1" applyFill="1" applyBorder="1" applyAlignment="1">
      <alignment horizontal="center"/>
    </xf>
    <xf numFmtId="0" fontId="45" fillId="0" borderId="21" xfId="11" applyFont="1" applyBorder="1" applyAlignment="1">
      <alignment horizontal="center"/>
    </xf>
    <xf numFmtId="0" fontId="45" fillId="0" borderId="14" xfId="218" applyFont="1" applyBorder="1"/>
    <xf numFmtId="0" fontId="45" fillId="0" borderId="21" xfId="11" applyFont="1" applyBorder="1" applyAlignment="1">
      <alignment horizontal="left" vertical="center"/>
    </xf>
    <xf numFmtId="3" fontId="45" fillId="0" borderId="21" xfId="12" applyNumberFormat="1" applyFont="1" applyFill="1" applyBorder="1" applyAlignment="1">
      <alignment horizontal="center"/>
    </xf>
    <xf numFmtId="4" fontId="45" fillId="0" borderId="21" xfId="2" applyNumberFormat="1" applyFont="1" applyFill="1" applyBorder="1" applyAlignment="1">
      <alignment horizontal="center" vertical="center"/>
    </xf>
    <xf numFmtId="0" fontId="45" fillId="0" borderId="21" xfId="11" applyFont="1" applyBorder="1" applyAlignment="1">
      <alignment horizontal="center" vertical="center"/>
    </xf>
    <xf numFmtId="3" fontId="45" fillId="0" borderId="21" xfId="12" applyNumberFormat="1" applyFont="1" applyFill="1" applyBorder="1" applyAlignment="1">
      <alignment horizontal="center" vertical="center"/>
    </xf>
    <xf numFmtId="0" fontId="15" fillId="0" borderId="35" xfId="217" applyFont="1" applyBorder="1"/>
    <xf numFmtId="4" fontId="45" fillId="0" borderId="21" xfId="11" applyNumberFormat="1" applyFont="1" applyBorder="1"/>
    <xf numFmtId="0" fontId="45" fillId="0" borderId="0" xfId="99" applyFont="1">
      <alignment vertical="top"/>
    </xf>
    <xf numFmtId="0" fontId="23" fillId="0" borderId="35" xfId="99" applyBorder="1" applyAlignment="1">
      <alignment horizontal="center" vertical="top" wrapText="1" readingOrder="1"/>
    </xf>
    <xf numFmtId="0" fontId="23" fillId="0" borderId="36" xfId="99" applyBorder="1" applyAlignment="1">
      <alignment vertical="top" wrapText="1" readingOrder="1"/>
    </xf>
    <xf numFmtId="0" fontId="23" fillId="0" borderId="37" xfId="99" applyBorder="1" applyAlignment="1">
      <alignment vertical="top" wrapText="1" readingOrder="1"/>
    </xf>
    <xf numFmtId="0" fontId="22" fillId="0" borderId="46" xfId="99" applyFont="1" applyBorder="1" applyAlignment="1">
      <alignment horizontal="center" vertical="top" wrapText="1" readingOrder="1"/>
    </xf>
    <xf numFmtId="0" fontId="22" fillId="0" borderId="14" xfId="99" applyFont="1" applyBorder="1" applyAlignment="1">
      <alignment horizontal="center" vertical="top" wrapText="1" readingOrder="1"/>
    </xf>
    <xf numFmtId="1" fontId="23" fillId="0" borderId="45" xfId="99" applyNumberFormat="1" applyBorder="1" applyAlignment="1">
      <alignment horizontal="center" vertical="top"/>
    </xf>
    <xf numFmtId="177" fontId="23" fillId="0" borderId="38" xfId="99" applyNumberFormat="1" applyBorder="1" applyAlignment="1">
      <alignment horizontal="center" vertical="top"/>
    </xf>
    <xf numFmtId="1" fontId="23" fillId="0" borderId="38" xfId="99" applyNumberFormat="1" applyBorder="1" applyAlignment="1">
      <alignment horizontal="center" vertical="top"/>
    </xf>
    <xf numFmtId="0" fontId="17" fillId="0" borderId="0" xfId="217" applyFont="1"/>
    <xf numFmtId="0" fontId="15" fillId="0" borderId="0" xfId="217" applyFont="1"/>
    <xf numFmtId="0" fontId="58" fillId="0" borderId="0" xfId="217" applyFont="1"/>
    <xf numFmtId="0" fontId="17" fillId="0" borderId="0" xfId="217" applyFont="1" applyAlignment="1">
      <alignment vertical="center"/>
    </xf>
    <xf numFmtId="0" fontId="17" fillId="0" borderId="0" xfId="217" applyFont="1" applyAlignment="1">
      <alignment vertical="center" wrapText="1"/>
    </xf>
    <xf numFmtId="2" fontId="15" fillId="0" borderId="0" xfId="217" applyNumberFormat="1" applyFont="1" applyAlignment="1">
      <alignment horizontal="right" vertical="center"/>
    </xf>
    <xf numFmtId="169" fontId="15" fillId="0" borderId="0" xfId="217" applyNumberFormat="1" applyFont="1" applyAlignment="1">
      <alignment horizontal="right" vertical="center"/>
    </xf>
    <xf numFmtId="185" fontId="15" fillId="0" borderId="0" xfId="12" applyNumberFormat="1" applyFont="1" applyFill="1" applyBorder="1"/>
    <xf numFmtId="2" fontId="59" fillId="0" borderId="0" xfId="217" applyNumberFormat="1" applyFont="1" applyAlignment="1">
      <alignment horizontal="right" vertical="center"/>
    </xf>
    <xf numFmtId="185" fontId="17" fillId="0" borderId="0" xfId="12" applyNumberFormat="1" applyFont="1" applyFill="1" applyBorder="1"/>
    <xf numFmtId="169" fontId="17" fillId="0" borderId="0" xfId="217" applyNumberFormat="1" applyFont="1" applyAlignment="1">
      <alignment horizontal="right" vertical="center"/>
    </xf>
    <xf numFmtId="188" fontId="17" fillId="0" borderId="0" xfId="217" applyNumberFormat="1" applyFont="1" applyAlignment="1">
      <alignment horizontal="right" vertical="center"/>
    </xf>
    <xf numFmtId="185" fontId="17" fillId="0" borderId="0" xfId="12" applyNumberFormat="1" applyFont="1" applyFill="1" applyBorder="1" applyAlignment="1">
      <alignment horizontal="right" vertical="center"/>
    </xf>
    <xf numFmtId="0" fontId="45" fillId="0" borderId="0" xfId="217" applyFont="1" applyAlignment="1">
      <alignment horizontal="right"/>
    </xf>
    <xf numFmtId="0" fontId="17" fillId="0" borderId="0" xfId="217" applyFont="1" applyAlignment="1">
      <alignment horizontal="right"/>
    </xf>
    <xf numFmtId="189" fontId="45" fillId="0" borderId="0" xfId="217" applyNumberFormat="1" applyFont="1"/>
    <xf numFmtId="43" fontId="45" fillId="0" borderId="0" xfId="217" applyNumberFormat="1" applyFont="1"/>
    <xf numFmtId="0" fontId="45" fillId="0" borderId="14" xfId="217" applyFont="1" applyBorder="1"/>
    <xf numFmtId="0" fontId="15" fillId="0" borderId="16" xfId="217" applyFont="1" applyBorder="1"/>
    <xf numFmtId="0" fontId="60" fillId="0" borderId="16" xfId="217" applyFont="1" applyBorder="1"/>
    <xf numFmtId="0" fontId="58" fillId="0" borderId="19" xfId="217" applyFont="1" applyBorder="1"/>
    <xf numFmtId="0" fontId="45" fillId="0" borderId="18" xfId="217" applyFont="1" applyBorder="1"/>
    <xf numFmtId="0" fontId="15" fillId="0" borderId="21" xfId="217" applyFont="1" applyBorder="1" applyAlignment="1">
      <alignment vertical="center"/>
    </xf>
    <xf numFmtId="0" fontId="15" fillId="0" borderId="21" xfId="217" applyFont="1" applyBorder="1" applyAlignment="1">
      <alignment horizontal="left"/>
    </xf>
    <xf numFmtId="0" fontId="15" fillId="0" borderId="21" xfId="217" applyFont="1" applyBorder="1" applyAlignment="1">
      <alignment horizontal="center" vertical="center"/>
    </xf>
    <xf numFmtId="2" fontId="45" fillId="0" borderId="21" xfId="12" applyNumberFormat="1" applyFont="1" applyFill="1" applyBorder="1" applyAlignment="1">
      <alignment horizontal="center" vertical="center"/>
    </xf>
    <xf numFmtId="2" fontId="15" fillId="0" borderId="21" xfId="12" applyNumberFormat="1" applyFont="1" applyBorder="1" applyAlignment="1">
      <alignment horizontal="center" vertical="center"/>
    </xf>
    <xf numFmtId="0" fontId="15" fillId="0" borderId="21" xfId="217" applyFont="1" applyBorder="1"/>
    <xf numFmtId="185" fontId="45" fillId="0" borderId="14" xfId="12" applyNumberFormat="1" applyFont="1" applyFill="1" applyBorder="1"/>
    <xf numFmtId="0" fontId="22" fillId="0" borderId="47" xfId="99" applyFont="1" applyBorder="1" applyAlignment="1">
      <alignment horizontal="center" vertical="top" wrapText="1" readingOrder="1"/>
    </xf>
    <xf numFmtId="0" fontId="22" fillId="0" borderId="48" xfId="99" applyFont="1" applyBorder="1" applyAlignment="1">
      <alignment horizontal="center" vertical="top" wrapText="1" readingOrder="1"/>
    </xf>
    <xf numFmtId="177" fontId="23" fillId="0" borderId="27" xfId="99" applyNumberFormat="1" applyBorder="1" applyAlignment="1">
      <alignment horizontal="center" vertical="top"/>
    </xf>
    <xf numFmtId="1" fontId="53" fillId="0" borderId="45" xfId="99" applyNumberFormat="1" applyFont="1" applyBorder="1" applyAlignment="1">
      <alignment horizontal="center" vertical="top"/>
    </xf>
    <xf numFmtId="177" fontId="53" fillId="0" borderId="38" xfId="99" applyNumberFormat="1" applyFont="1" applyBorder="1" applyAlignment="1">
      <alignment horizontal="center" vertical="top"/>
    </xf>
    <xf numFmtId="177" fontId="15" fillId="0" borderId="34" xfId="210" applyNumberFormat="1" applyFont="1" applyBorder="1" applyAlignment="1">
      <alignment horizontal="center"/>
    </xf>
    <xf numFmtId="4" fontId="23" fillId="0" borderId="38" xfId="99" applyNumberFormat="1" applyBorder="1" applyAlignment="1">
      <alignment horizontal="center" vertical="top"/>
    </xf>
    <xf numFmtId="3" fontId="15" fillId="0" borderId="34" xfId="210" applyNumberFormat="1" applyFont="1" applyBorder="1" applyAlignment="1">
      <alignment horizontal="center"/>
    </xf>
    <xf numFmtId="170" fontId="23" fillId="0" borderId="34" xfId="12" applyNumberFormat="1" applyFont="1" applyFill="1" applyBorder="1" applyAlignment="1">
      <alignment horizontal="center" vertical="top"/>
    </xf>
    <xf numFmtId="182" fontId="45" fillId="0" borderId="34" xfId="77" applyNumberFormat="1" applyFont="1" applyFill="1" applyBorder="1" applyAlignment="1" applyProtection="1">
      <alignment horizontal="center"/>
      <protection locked="0"/>
    </xf>
    <xf numFmtId="0" fontId="15" fillId="0" borderId="49" xfId="0" applyFont="1" applyBorder="1"/>
    <xf numFmtId="1" fontId="15" fillId="0" borderId="49" xfId="92" applyNumberFormat="1" applyFont="1" applyFill="1" applyBorder="1"/>
    <xf numFmtId="10" fontId="15" fillId="0" borderId="49" xfId="99" applyNumberFormat="1" applyFont="1" applyBorder="1" applyAlignment="1">
      <alignment horizontal="right" vertical="top"/>
    </xf>
    <xf numFmtId="0" fontId="15" fillId="0" borderId="49" xfId="92" applyFont="1" applyFill="1" applyBorder="1"/>
    <xf numFmtId="169" fontId="15" fillId="0" borderId="49" xfId="92" applyNumberFormat="1" applyFont="1" applyFill="1" applyBorder="1"/>
    <xf numFmtId="169" fontId="15" fillId="0" borderId="49" xfId="141" applyNumberFormat="1" applyFont="1" applyBorder="1"/>
    <xf numFmtId="10" fontId="23" fillId="0" borderId="49" xfId="99" applyNumberFormat="1" applyBorder="1" applyAlignment="1">
      <alignment horizontal="right" vertical="top"/>
    </xf>
    <xf numFmtId="0" fontId="22" fillId="0" borderId="52" xfId="99" applyFont="1" applyBorder="1" applyAlignment="1">
      <alignment horizontal="center" vertical="top" wrapText="1" readingOrder="1"/>
    </xf>
    <xf numFmtId="0" fontId="22" fillId="0" borderId="53" xfId="99" applyFont="1" applyBorder="1" applyAlignment="1">
      <alignment horizontal="center" vertical="top" wrapText="1" readingOrder="1"/>
    </xf>
    <xf numFmtId="0" fontId="22" fillId="0" borderId="54" xfId="99" applyFont="1" applyBorder="1" applyAlignment="1">
      <alignment horizontal="center" vertical="top" wrapText="1" readingOrder="1"/>
    </xf>
    <xf numFmtId="177" fontId="23" fillId="0" borderId="55" xfId="99" applyNumberFormat="1" applyBorder="1" applyAlignment="1">
      <alignment horizontal="center" vertical="top"/>
    </xf>
    <xf numFmtId="170" fontId="15" fillId="0" borderId="56" xfId="11" applyNumberFormat="1" applyBorder="1" applyAlignment="1">
      <alignment horizontal="center"/>
    </xf>
    <xf numFmtId="170" fontId="23" fillId="0" borderId="57" xfId="12" applyNumberFormat="1" applyFont="1" applyFill="1" applyBorder="1" applyAlignment="1">
      <alignment horizontal="center" vertical="top"/>
    </xf>
    <xf numFmtId="1" fontId="23" fillId="0" borderId="55" xfId="99" applyNumberFormat="1" applyBorder="1" applyAlignment="1">
      <alignment horizontal="center" vertical="top"/>
    </xf>
    <xf numFmtId="177" fontId="23" fillId="0" borderId="58" xfId="99" applyNumberFormat="1" applyBorder="1" applyAlignment="1">
      <alignment horizontal="center" vertical="top"/>
    </xf>
    <xf numFmtId="170" fontId="15" fillId="0" borderId="57" xfId="11" applyNumberFormat="1" applyBorder="1" applyAlignment="1">
      <alignment horizontal="center"/>
    </xf>
    <xf numFmtId="0" fontId="17" fillId="0" borderId="35" xfId="0" applyFont="1" applyBorder="1" applyAlignment="1">
      <alignment horizontal="center"/>
    </xf>
    <xf numFmtId="0" fontId="17" fillId="0" borderId="51" xfId="0" applyFont="1" applyBorder="1" applyAlignment="1">
      <alignment horizontal="center"/>
    </xf>
    <xf numFmtId="0" fontId="17" fillId="0" borderId="35" xfId="0" applyFont="1" applyBorder="1"/>
    <xf numFmtId="0" fontId="17" fillId="0" borderId="55" xfId="0" applyFont="1" applyBorder="1"/>
    <xf numFmtId="0" fontId="15" fillId="0" borderId="56" xfId="0" applyFont="1" applyBorder="1"/>
    <xf numFmtId="0" fontId="15" fillId="0" borderId="57" xfId="0" applyFont="1" applyBorder="1"/>
    <xf numFmtId="0" fontId="15" fillId="0" borderId="35" xfId="0" applyFont="1" applyBorder="1" applyAlignment="1">
      <alignment horizontal="center"/>
    </xf>
    <xf numFmtId="0" fontId="15" fillId="0" borderId="59" xfId="0" applyFont="1" applyBorder="1" applyAlignment="1">
      <alignment horizontal="center" wrapText="1"/>
    </xf>
    <xf numFmtId="0" fontId="15" fillId="0" borderId="51" xfId="0" applyFont="1" applyBorder="1" applyAlignment="1">
      <alignment horizontal="center" wrapText="1"/>
    </xf>
    <xf numFmtId="0" fontId="15" fillId="0" borderId="59" xfId="0" applyFont="1" applyBorder="1"/>
    <xf numFmtId="37" fontId="15" fillId="0" borderId="56" xfId="12" applyNumberFormat="1" applyFont="1" applyFill="1" applyBorder="1"/>
    <xf numFmtId="37" fontId="15" fillId="0" borderId="57" xfId="12" applyNumberFormat="1" applyFont="1" applyFill="1" applyBorder="1"/>
    <xf numFmtId="37" fontId="15" fillId="0" borderId="59" xfId="12" applyNumberFormat="1" applyFont="1" applyFill="1" applyBorder="1"/>
    <xf numFmtId="37" fontId="15" fillId="0" borderId="51" xfId="12" applyNumberFormat="1" applyFont="1" applyFill="1" applyBorder="1"/>
    <xf numFmtId="176" fontId="15" fillId="0" borderId="59" xfId="12" applyNumberFormat="1" applyFont="1" applyFill="1" applyBorder="1"/>
    <xf numFmtId="176" fontId="15" fillId="0" borderId="51" xfId="12" applyNumberFormat="1" applyFont="1" applyFill="1" applyBorder="1"/>
    <xf numFmtId="3" fontId="15" fillId="0" borderId="59" xfId="12" applyNumberFormat="1" applyFont="1" applyFill="1" applyBorder="1"/>
    <xf numFmtId="3" fontId="15" fillId="0" borderId="51" xfId="12" applyNumberFormat="1" applyFont="1" applyFill="1" applyBorder="1"/>
    <xf numFmtId="0" fontId="17" fillId="0" borderId="55" xfId="11" applyFont="1" applyBorder="1" applyAlignment="1">
      <alignment vertical="center"/>
    </xf>
    <xf numFmtId="0" fontId="15" fillId="0" borderId="56" xfId="11" applyBorder="1"/>
    <xf numFmtId="0" fontId="15" fillId="0" borderId="57" xfId="11" applyBorder="1"/>
    <xf numFmtId="0" fontId="15" fillId="0" borderId="59" xfId="11" applyBorder="1" applyAlignment="1">
      <alignment horizontal="center" wrapText="1"/>
    </xf>
    <xf numFmtId="0" fontId="15" fillId="0" borderId="51" xfId="11" applyBorder="1" applyAlignment="1">
      <alignment horizontal="center" wrapText="1"/>
    </xf>
    <xf numFmtId="0" fontId="15" fillId="0" borderId="55" xfId="0" applyFont="1" applyBorder="1"/>
    <xf numFmtId="0" fontId="15" fillId="0" borderId="55" xfId="11" applyBorder="1"/>
    <xf numFmtId="0" fontId="22" fillId="0" borderId="60" xfId="99" applyFont="1" applyBorder="1" applyAlignment="1">
      <alignment horizontal="center" vertical="top" wrapText="1" readingOrder="1"/>
    </xf>
    <xf numFmtId="177" fontId="23" fillId="0" borderId="61" xfId="99" applyNumberFormat="1" applyBorder="1" applyAlignment="1">
      <alignment horizontal="center" vertical="top"/>
    </xf>
    <xf numFmtId="169" fontId="23" fillId="0" borderId="57" xfId="12" applyNumberFormat="1" applyFont="1" applyFill="1" applyBorder="1" applyAlignment="1">
      <alignment horizontal="center" vertical="top"/>
    </xf>
    <xf numFmtId="181" fontId="52" fillId="0" borderId="55" xfId="126" applyNumberFormat="1" applyFont="1" applyBorder="1" applyAlignment="1">
      <alignment horizontal="center" vertical="center"/>
    </xf>
    <xf numFmtId="181" fontId="52" fillId="0" borderId="55" xfId="126" applyNumberFormat="1" applyFont="1" applyBorder="1" applyAlignment="1">
      <alignment horizontal="centerContinuous" vertical="center" wrapText="1"/>
    </xf>
    <xf numFmtId="181" fontId="52" fillId="0" borderId="56" xfId="126" applyNumberFormat="1" applyFont="1" applyBorder="1" applyAlignment="1">
      <alignment horizontal="centerContinuous" vertical="center"/>
    </xf>
    <xf numFmtId="0" fontId="45" fillId="0" borderId="58" xfId="207" applyFont="1" applyBorder="1" applyAlignment="1">
      <alignment horizontal="center" vertical="center"/>
    </xf>
    <xf numFmtId="182" fontId="50" fillId="0" borderId="57" xfId="77" applyNumberFormat="1" applyFont="1" applyFill="1" applyBorder="1" applyAlignment="1" applyProtection="1">
      <alignment horizontal="center"/>
      <protection locked="0"/>
    </xf>
    <xf numFmtId="0" fontId="45" fillId="0" borderId="55" xfId="217" applyFont="1" applyBorder="1"/>
    <xf numFmtId="0" fontId="45" fillId="0" borderId="56" xfId="217" applyFont="1" applyBorder="1"/>
    <xf numFmtId="2" fontId="45" fillId="0" borderId="57" xfId="217" applyNumberFormat="1" applyFont="1" applyBorder="1"/>
    <xf numFmtId="0" fontId="15" fillId="0" borderId="51" xfId="11" applyBorder="1" applyAlignment="1">
      <alignment horizontal="center"/>
    </xf>
    <xf numFmtId="0" fontId="46" fillId="0" borderId="55" xfId="217" applyFont="1" applyBorder="1"/>
    <xf numFmtId="0" fontId="45" fillId="0" borderId="56" xfId="11" applyFont="1" applyBorder="1"/>
    <xf numFmtId="0" fontId="45" fillId="0" borderId="57" xfId="11" applyFont="1" applyBorder="1"/>
    <xf numFmtId="0" fontId="45" fillId="0" borderId="51" xfId="11" applyFont="1" applyBorder="1" applyAlignment="1">
      <alignment horizontal="center"/>
    </xf>
    <xf numFmtId="187" fontId="45" fillId="0" borderId="51" xfId="213" applyNumberFormat="1" applyFont="1" applyFill="1" applyBorder="1" applyAlignment="1">
      <alignment horizontal="center"/>
    </xf>
    <xf numFmtId="187" fontId="45" fillId="0" borderId="51" xfId="11" applyNumberFormat="1" applyFont="1" applyBorder="1" applyAlignment="1">
      <alignment horizontal="center"/>
    </xf>
    <xf numFmtId="0" fontId="45" fillId="0" borderId="58" xfId="11" applyFont="1" applyBorder="1" applyAlignment="1">
      <alignment horizontal="left" vertical="center"/>
    </xf>
    <xf numFmtId="0" fontId="45" fillId="0" borderId="59" xfId="11" applyFont="1" applyBorder="1"/>
    <xf numFmtId="0" fontId="45" fillId="0" borderId="59" xfId="218" applyFont="1" applyBorder="1"/>
    <xf numFmtId="0" fontId="17" fillId="0" borderId="55" xfId="217" applyFont="1" applyBorder="1"/>
    <xf numFmtId="0" fontId="17" fillId="0" borderId="56" xfId="217" applyFont="1" applyBorder="1"/>
    <xf numFmtId="0" fontId="17" fillId="0" borderId="57" xfId="217" applyFont="1" applyBorder="1"/>
    <xf numFmtId="0" fontId="15" fillId="0" borderId="59" xfId="217" applyFont="1" applyBorder="1"/>
    <xf numFmtId="2" fontId="15" fillId="0" borderId="59" xfId="217" applyNumberFormat="1" applyFont="1" applyBorder="1" applyAlignment="1">
      <alignment horizontal="center"/>
    </xf>
    <xf numFmtId="1" fontId="45" fillId="0" borderId="59" xfId="215" applyNumberFormat="1" applyFont="1" applyBorder="1" applyAlignment="1">
      <alignment horizontal="center"/>
    </xf>
    <xf numFmtId="1" fontId="45" fillId="0" borderId="51" xfId="215" applyNumberFormat="1" applyFont="1" applyBorder="1" applyAlignment="1">
      <alignment horizontal="center" wrapText="1"/>
    </xf>
    <xf numFmtId="0" fontId="15" fillId="0" borderId="55" xfId="11" applyBorder="1" applyAlignment="1">
      <alignment horizontal="center"/>
    </xf>
    <xf numFmtId="0" fontId="15" fillId="0" borderId="56" xfId="11" applyBorder="1" applyAlignment="1">
      <alignment horizontal="center"/>
    </xf>
    <xf numFmtId="0" fontId="46" fillId="0" borderId="28" xfId="99" applyFont="1" applyBorder="1" applyAlignment="1">
      <alignment horizontal="center" vertical="top" wrapText="1" readingOrder="1"/>
    </xf>
    <xf numFmtId="0" fontId="46" fillId="0" borderId="29" xfId="99" applyFont="1" applyBorder="1" applyAlignment="1">
      <alignment horizontal="center" vertical="top" wrapText="1" readingOrder="1"/>
    </xf>
    <xf numFmtId="0" fontId="46" fillId="0" borderId="30" xfId="99" applyFont="1" applyBorder="1" applyAlignment="1">
      <alignment horizontal="center" vertical="top" wrapText="1" readingOrder="1"/>
    </xf>
    <xf numFmtId="0" fontId="22" fillId="0" borderId="25" xfId="99" applyFont="1" applyBorder="1" applyAlignment="1">
      <alignment horizontal="center" vertical="top" wrapText="1" readingOrder="1"/>
    </xf>
    <xf numFmtId="0" fontId="22" fillId="0" borderId="31" xfId="99" applyFont="1" applyBorder="1" applyAlignment="1">
      <alignment horizontal="center" vertical="top" wrapText="1" readingOrder="1"/>
    </xf>
    <xf numFmtId="0" fontId="22" fillId="0" borderId="35" xfId="99" applyFont="1" applyBorder="1" applyAlignment="1">
      <alignment horizontal="left" vertical="top" wrapText="1" readingOrder="1"/>
    </xf>
    <xf numFmtId="0" fontId="22" fillId="0" borderId="37" xfId="99" applyFont="1" applyBorder="1" applyAlignment="1">
      <alignment horizontal="left" vertical="top" wrapText="1" readingOrder="1"/>
    </xf>
    <xf numFmtId="0" fontId="46" fillId="0" borderId="38" xfId="99" applyFont="1" applyBorder="1" applyAlignment="1">
      <alignment horizontal="center" vertical="top" wrapText="1" readingOrder="1"/>
    </xf>
    <xf numFmtId="0" fontId="46" fillId="0" borderId="33" xfId="99" applyFont="1" applyBorder="1" applyAlignment="1">
      <alignment horizontal="center" vertical="top" wrapText="1" readingOrder="1"/>
    </xf>
    <xf numFmtId="0" fontId="46" fillId="0" borderId="34" xfId="99" applyFont="1" applyBorder="1" applyAlignment="1">
      <alignment horizontal="center" vertical="top" wrapText="1" readingOrder="1"/>
    </xf>
    <xf numFmtId="0" fontId="22" fillId="0" borderId="50" xfId="99" applyFont="1" applyBorder="1" applyAlignment="1">
      <alignment horizontal="left" vertical="top" wrapText="1" readingOrder="1"/>
    </xf>
    <xf numFmtId="0" fontId="22" fillId="0" borderId="51" xfId="99" applyFont="1" applyBorder="1" applyAlignment="1">
      <alignment horizontal="left" vertical="top" wrapText="1" readingOrder="1"/>
    </xf>
    <xf numFmtId="0" fontId="17" fillId="0" borderId="35" xfId="0" applyFont="1" applyBorder="1" applyAlignment="1">
      <alignment horizontal="center"/>
    </xf>
    <xf numFmtId="0" fontId="17" fillId="0" borderId="51" xfId="0" applyFont="1" applyBorder="1" applyAlignment="1">
      <alignment horizontal="center"/>
    </xf>
    <xf numFmtId="0" fontId="15" fillId="0" borderId="16" xfId="0" applyFont="1" applyBorder="1" applyAlignment="1">
      <alignment horizontal="left" vertical="center" wrapText="1"/>
    </xf>
    <xf numFmtId="0" fontId="15" fillId="0" borderId="0" xfId="0" applyFont="1" applyAlignment="1">
      <alignment horizontal="left" vertical="center" wrapText="1"/>
    </xf>
    <xf numFmtId="0" fontId="15" fillId="0" borderId="14" xfId="0" applyFont="1" applyBorder="1" applyAlignment="1">
      <alignment horizontal="left" vertical="center" wrapText="1"/>
    </xf>
    <xf numFmtId="0" fontId="15" fillId="0" borderId="19" xfId="0" applyFont="1" applyBorder="1" applyAlignment="1">
      <alignment horizontal="left" vertical="center" wrapText="1"/>
    </xf>
    <xf numFmtId="0" fontId="15" fillId="0" borderId="1" xfId="0" applyFont="1" applyBorder="1" applyAlignment="1">
      <alignment horizontal="left" vertical="center" wrapText="1"/>
    </xf>
    <xf numFmtId="0" fontId="15" fillId="0" borderId="18" xfId="0" applyFont="1" applyBorder="1" applyAlignment="1">
      <alignment horizontal="left" vertical="center" wrapText="1"/>
    </xf>
    <xf numFmtId="0" fontId="17" fillId="0" borderId="35" xfId="11" applyFont="1" applyBorder="1" applyAlignment="1">
      <alignment horizontal="center" wrapText="1"/>
    </xf>
    <xf numFmtId="0" fontId="17" fillId="0" borderId="59" xfId="11" applyFont="1" applyBorder="1" applyAlignment="1">
      <alignment horizontal="center" wrapText="1"/>
    </xf>
    <xf numFmtId="0" fontId="17" fillId="0" borderId="51" xfId="11" applyFont="1" applyBorder="1" applyAlignment="1">
      <alignment horizontal="center" wrapText="1"/>
    </xf>
    <xf numFmtId="0" fontId="15" fillId="0" borderId="55" xfId="11" applyBorder="1" applyAlignment="1">
      <alignment horizontal="left" vertical="center" wrapText="1"/>
    </xf>
    <xf numFmtId="0" fontId="15" fillId="0" borderId="56" xfId="11" applyBorder="1" applyAlignment="1">
      <alignment horizontal="left" vertical="center" wrapText="1"/>
    </xf>
    <xf numFmtId="0" fontId="15" fillId="0" borderId="57" xfId="11" applyBorder="1" applyAlignment="1">
      <alignment horizontal="left" vertical="center" wrapText="1"/>
    </xf>
    <xf numFmtId="0" fontId="15" fillId="0" borderId="19" xfId="11" applyBorder="1" applyAlignment="1">
      <alignment horizontal="left" vertical="center" wrapText="1"/>
    </xf>
    <xf numFmtId="0" fontId="15" fillId="0" borderId="1" xfId="11" applyBorder="1" applyAlignment="1">
      <alignment horizontal="left" vertical="center" wrapText="1"/>
    </xf>
    <xf numFmtId="0" fontId="15" fillId="0" borderId="18" xfId="11" applyBorder="1" applyAlignment="1">
      <alignment horizontal="left" vertical="center" wrapText="1"/>
    </xf>
    <xf numFmtId="0" fontId="17" fillId="0" borderId="59" xfId="0" applyFont="1" applyBorder="1" applyAlignment="1">
      <alignment horizontal="center"/>
    </xf>
    <xf numFmtId="0" fontId="17" fillId="0" borderId="55" xfId="0" applyFont="1" applyBorder="1" applyAlignment="1">
      <alignment horizontal="center"/>
    </xf>
    <xf numFmtId="0" fontId="17" fillId="0" borderId="57" xfId="0" applyFont="1" applyBorder="1" applyAlignment="1">
      <alignment horizontal="center"/>
    </xf>
    <xf numFmtId="0" fontId="17" fillId="0" borderId="0" xfId="0" applyFont="1" applyAlignment="1">
      <alignment horizontal="center"/>
    </xf>
    <xf numFmtId="0" fontId="17" fillId="0" borderId="14" xfId="0" applyFont="1" applyBorder="1" applyAlignment="1">
      <alignment horizontal="center"/>
    </xf>
    <xf numFmtId="0" fontId="17" fillId="0" borderId="35" xfId="11" applyFont="1" applyBorder="1" applyAlignment="1">
      <alignment horizontal="center"/>
    </xf>
    <xf numFmtId="0" fontId="17" fillId="0" borderId="59" xfId="11" applyFont="1" applyBorder="1" applyAlignment="1">
      <alignment horizontal="center"/>
    </xf>
    <xf numFmtId="0" fontId="17" fillId="0" borderId="51" xfId="11" applyFont="1" applyBorder="1" applyAlignment="1">
      <alignment horizontal="center"/>
    </xf>
    <xf numFmtId="0" fontId="17" fillId="0" borderId="55" xfId="11" applyFont="1" applyBorder="1" applyAlignment="1">
      <alignment horizontal="center"/>
    </xf>
    <xf numFmtId="0" fontId="17" fillId="0" borderId="57" xfId="11" applyFont="1" applyBorder="1" applyAlignment="1">
      <alignment horizontal="center"/>
    </xf>
    <xf numFmtId="0" fontId="17" fillId="0" borderId="0" xfId="11" applyFont="1" applyAlignment="1">
      <alignment horizontal="center"/>
    </xf>
    <xf numFmtId="0" fontId="17" fillId="0" borderId="14" xfId="11" applyFont="1" applyBorder="1" applyAlignment="1">
      <alignment horizontal="center"/>
    </xf>
    <xf numFmtId="0" fontId="15" fillId="0" borderId="0" xfId="11" applyAlignment="1">
      <alignment horizontal="left" vertical="top" wrapText="1"/>
    </xf>
    <xf numFmtId="0" fontId="17" fillId="0" borderId="56" xfId="0" applyFont="1" applyBorder="1" applyAlignment="1">
      <alignment horizontal="center"/>
    </xf>
    <xf numFmtId="0" fontId="15" fillId="0" borderId="0" xfId="0" applyFont="1" applyAlignment="1">
      <alignment horizontal="left" vertical="top" wrapText="1"/>
    </xf>
    <xf numFmtId="0" fontId="17" fillId="0" borderId="56" xfId="11" applyFont="1" applyBorder="1" applyAlignment="1">
      <alignment horizontal="center"/>
    </xf>
    <xf numFmtId="181" fontId="52" fillId="0" borderId="55" xfId="126" applyNumberFormat="1" applyFont="1" applyBorder="1" applyAlignment="1">
      <alignment horizontal="center" vertical="center" wrapText="1"/>
    </xf>
    <xf numFmtId="181" fontId="52" fillId="0" borderId="57" xfId="126" applyNumberFormat="1" applyFont="1" applyBorder="1" applyAlignment="1">
      <alignment horizontal="center" vertical="center" wrapText="1"/>
    </xf>
    <xf numFmtId="181" fontId="52" fillId="0" borderId="19" xfId="126" applyNumberFormat="1" applyFont="1" applyBorder="1" applyAlignment="1">
      <alignment horizontal="center" vertical="center" wrapText="1"/>
    </xf>
    <xf numFmtId="181" fontId="52" fillId="0" borderId="18" xfId="126" applyNumberFormat="1" applyFont="1" applyBorder="1" applyAlignment="1">
      <alignment horizontal="center" vertical="center" wrapText="1"/>
    </xf>
    <xf numFmtId="0" fontId="45" fillId="0" borderId="58" xfId="11" applyFont="1" applyBorder="1" applyAlignment="1">
      <alignment horizontal="center" vertical="center"/>
    </xf>
    <xf numFmtId="0" fontId="45" fillId="0" borderId="15" xfId="11" applyFont="1" applyBorder="1" applyAlignment="1">
      <alignment horizontal="center" vertical="center"/>
    </xf>
    <xf numFmtId="0" fontId="45" fillId="0" borderId="17" xfId="11" applyFont="1" applyBorder="1" applyAlignment="1">
      <alignment horizontal="center" vertical="center"/>
    </xf>
    <xf numFmtId="0" fontId="45" fillId="0" borderId="55" xfId="11" applyFont="1" applyBorder="1" applyAlignment="1">
      <alignment horizontal="center" vertical="center"/>
    </xf>
    <xf numFmtId="0" fontId="45" fillId="0" borderId="19" xfId="11" applyFont="1" applyBorder="1" applyAlignment="1">
      <alignment horizontal="center" vertical="center"/>
    </xf>
    <xf numFmtId="0" fontId="45" fillId="0" borderId="16" xfId="11" applyFont="1" applyBorder="1" applyAlignment="1">
      <alignment horizontal="center" vertical="center"/>
    </xf>
  </cellXfs>
  <cellStyles count="219">
    <cellStyle name="20% - Accent1 2" xfId="21" xr:uid="{00000000-0005-0000-0000-000000000000}"/>
    <cellStyle name="20% - Accent1 3" xfId="22" xr:uid="{00000000-0005-0000-0000-000001000000}"/>
    <cellStyle name="20% - Accent2 2" xfId="23" xr:uid="{00000000-0005-0000-0000-000002000000}"/>
    <cellStyle name="20% - Accent2 3" xfId="24" xr:uid="{00000000-0005-0000-0000-000003000000}"/>
    <cellStyle name="20% - Accent3 2" xfId="25" xr:uid="{00000000-0005-0000-0000-000004000000}"/>
    <cellStyle name="20% - Accent3 3" xfId="26" xr:uid="{00000000-0005-0000-0000-000005000000}"/>
    <cellStyle name="20% - Accent4 2" xfId="27" xr:uid="{00000000-0005-0000-0000-000006000000}"/>
    <cellStyle name="20% - Accent4 3" xfId="28" xr:uid="{00000000-0005-0000-0000-000007000000}"/>
    <cellStyle name="20% - Accent5 2" xfId="29" xr:uid="{00000000-0005-0000-0000-000008000000}"/>
    <cellStyle name="20% - Accent5 3" xfId="30" xr:uid="{00000000-0005-0000-0000-000009000000}"/>
    <cellStyle name="20% - Accent6 2" xfId="31" xr:uid="{00000000-0005-0000-0000-00000A000000}"/>
    <cellStyle name="20% - Accent6 3" xfId="32" xr:uid="{00000000-0005-0000-0000-00000B000000}"/>
    <cellStyle name="40% - Accent1 2" xfId="33" xr:uid="{00000000-0005-0000-0000-00000C000000}"/>
    <cellStyle name="40% - Accent1 3" xfId="34" xr:uid="{00000000-0005-0000-0000-00000D000000}"/>
    <cellStyle name="40% - Accent2 2" xfId="35" xr:uid="{00000000-0005-0000-0000-00000E000000}"/>
    <cellStyle name="40% - Accent2 3" xfId="36" xr:uid="{00000000-0005-0000-0000-00000F000000}"/>
    <cellStyle name="40% - Accent3 2" xfId="37" xr:uid="{00000000-0005-0000-0000-000010000000}"/>
    <cellStyle name="40% - Accent3 3" xfId="38" xr:uid="{00000000-0005-0000-0000-000011000000}"/>
    <cellStyle name="40% - Accent4 2" xfId="39" xr:uid="{00000000-0005-0000-0000-000012000000}"/>
    <cellStyle name="40% - Accent4 3" xfId="40" xr:uid="{00000000-0005-0000-0000-000013000000}"/>
    <cellStyle name="40% - Accent5 2" xfId="41" xr:uid="{00000000-0005-0000-0000-000014000000}"/>
    <cellStyle name="40% - Accent5 3" xfId="42" xr:uid="{00000000-0005-0000-0000-000015000000}"/>
    <cellStyle name="40% - Accent6 2" xfId="43" xr:uid="{00000000-0005-0000-0000-000016000000}"/>
    <cellStyle name="40% - Accent6 3" xfId="44" xr:uid="{00000000-0005-0000-0000-000017000000}"/>
    <cellStyle name="60% - Accent1 2" xfId="45" xr:uid="{00000000-0005-0000-0000-000018000000}"/>
    <cellStyle name="60% - Accent1 3" xfId="46" xr:uid="{00000000-0005-0000-0000-000019000000}"/>
    <cellStyle name="60% - Accent2 2" xfId="47" xr:uid="{00000000-0005-0000-0000-00001A000000}"/>
    <cellStyle name="60% - Accent2 3" xfId="48" xr:uid="{00000000-0005-0000-0000-00001B000000}"/>
    <cellStyle name="60% - Accent3 2" xfId="49" xr:uid="{00000000-0005-0000-0000-00001C000000}"/>
    <cellStyle name="60% - Accent3 3" xfId="50" xr:uid="{00000000-0005-0000-0000-00001D000000}"/>
    <cellStyle name="60% - Accent4 2" xfId="51" xr:uid="{00000000-0005-0000-0000-00001E000000}"/>
    <cellStyle name="60% - Accent4 3" xfId="52" xr:uid="{00000000-0005-0000-0000-00001F000000}"/>
    <cellStyle name="60% - Accent5 2" xfId="53" xr:uid="{00000000-0005-0000-0000-000020000000}"/>
    <cellStyle name="60% - Accent5 3" xfId="54" xr:uid="{00000000-0005-0000-0000-000021000000}"/>
    <cellStyle name="60% - Accent6 2" xfId="55" xr:uid="{00000000-0005-0000-0000-000022000000}"/>
    <cellStyle name="60% - Accent6 3" xfId="56" xr:uid="{00000000-0005-0000-0000-000023000000}"/>
    <cellStyle name="Accent1 2" xfId="57" xr:uid="{00000000-0005-0000-0000-000024000000}"/>
    <cellStyle name="Accent1 3" xfId="58" xr:uid="{00000000-0005-0000-0000-000025000000}"/>
    <cellStyle name="Accent2 2" xfId="59" xr:uid="{00000000-0005-0000-0000-000026000000}"/>
    <cellStyle name="Accent2 3" xfId="60" xr:uid="{00000000-0005-0000-0000-000027000000}"/>
    <cellStyle name="Accent3 2" xfId="61" xr:uid="{00000000-0005-0000-0000-000028000000}"/>
    <cellStyle name="Accent3 3" xfId="62" xr:uid="{00000000-0005-0000-0000-000029000000}"/>
    <cellStyle name="Accent4 2" xfId="63" xr:uid="{00000000-0005-0000-0000-00002A000000}"/>
    <cellStyle name="Accent4 3" xfId="64" xr:uid="{00000000-0005-0000-0000-00002B000000}"/>
    <cellStyle name="Accent5 2" xfId="65" xr:uid="{00000000-0005-0000-0000-00002C000000}"/>
    <cellStyle name="Accent5 3" xfId="66" xr:uid="{00000000-0005-0000-0000-00002D000000}"/>
    <cellStyle name="Accent6 2" xfId="67" xr:uid="{00000000-0005-0000-0000-00002E000000}"/>
    <cellStyle name="Accent6 3" xfId="68" xr:uid="{00000000-0005-0000-0000-00002F000000}"/>
    <cellStyle name="Bad 2" xfId="69" xr:uid="{00000000-0005-0000-0000-000030000000}"/>
    <cellStyle name="Bad 3" xfId="70" xr:uid="{00000000-0005-0000-0000-000031000000}"/>
    <cellStyle name="Calculation 2" xfId="71" xr:uid="{00000000-0005-0000-0000-000032000000}"/>
    <cellStyle name="Calculation 3" xfId="72" xr:uid="{00000000-0005-0000-0000-000033000000}"/>
    <cellStyle name="Capacity" xfId="187" xr:uid="{00000000-0005-0000-0000-000034000000}"/>
    <cellStyle name="Check Cell 2" xfId="73" xr:uid="{00000000-0005-0000-0000-000035000000}"/>
    <cellStyle name="Check Cell 3" xfId="74" xr:uid="{00000000-0005-0000-0000-000036000000}"/>
    <cellStyle name="Comma" xfId="139" builtinId="3"/>
    <cellStyle name="Comma 2" xfId="1" xr:uid="{00000000-0005-0000-0000-000038000000}"/>
    <cellStyle name="Comma 2 2" xfId="12" xr:uid="{00000000-0005-0000-0000-000039000000}"/>
    <cellStyle name="Comma 2 2 2" xfId="130" xr:uid="{00000000-0005-0000-0000-00003A000000}"/>
    <cellStyle name="Comma 2 2 2 2" xfId="173" xr:uid="{00000000-0005-0000-0000-00003B000000}"/>
    <cellStyle name="Comma 2 3" xfId="75" xr:uid="{00000000-0005-0000-0000-00003C000000}"/>
    <cellStyle name="Comma 2 3 2" xfId="155" xr:uid="{00000000-0005-0000-0000-00003D000000}"/>
    <cellStyle name="Comma 3" xfId="5" xr:uid="{00000000-0005-0000-0000-00003E000000}"/>
    <cellStyle name="Comma 3 2" xfId="132" xr:uid="{00000000-0005-0000-0000-00003F000000}"/>
    <cellStyle name="Comma 3 2 2" xfId="175" xr:uid="{00000000-0005-0000-0000-000040000000}"/>
    <cellStyle name="Comma 3 3" xfId="137" xr:uid="{00000000-0005-0000-0000-000041000000}"/>
    <cellStyle name="Comma 3 3 2" xfId="179" xr:uid="{00000000-0005-0000-0000-000042000000}"/>
    <cellStyle name="Comma 3 4" xfId="145" xr:uid="{00000000-0005-0000-0000-000043000000}"/>
    <cellStyle name="Comma 4" xfId="9" xr:uid="{00000000-0005-0000-0000-000044000000}"/>
    <cellStyle name="Comma 4 2" xfId="148" xr:uid="{00000000-0005-0000-0000-000045000000}"/>
    <cellStyle name="Comma 5" xfId="14" xr:uid="{00000000-0005-0000-0000-000046000000}"/>
    <cellStyle name="Comma 5 2" xfId="151" xr:uid="{00000000-0005-0000-0000-000047000000}"/>
    <cellStyle name="Comma 6" xfId="142" xr:uid="{00000000-0005-0000-0000-000048000000}"/>
    <cellStyle name="Comma 6 2" xfId="183" xr:uid="{00000000-0005-0000-0000-000049000000}"/>
    <cellStyle name="Comma 7" xfId="188" xr:uid="{00000000-0005-0000-0000-00004A000000}"/>
    <cellStyle name="Comma 9" xfId="127" xr:uid="{00000000-0005-0000-0000-00004B000000}"/>
    <cellStyle name="Comma 9 2" xfId="171" xr:uid="{00000000-0005-0000-0000-00004C000000}"/>
    <cellStyle name="County" xfId="189" xr:uid="{00000000-0005-0000-0000-00004D000000}"/>
    <cellStyle name="Currency 12" xfId="128" xr:uid="{00000000-0005-0000-0000-00004F000000}"/>
    <cellStyle name="Currency 12 2" xfId="172" xr:uid="{00000000-0005-0000-0000-000050000000}"/>
    <cellStyle name="Currency 2" xfId="7" xr:uid="{00000000-0005-0000-0000-000051000000}"/>
    <cellStyle name="Currency 2 2" xfId="76" xr:uid="{00000000-0005-0000-0000-000052000000}"/>
    <cellStyle name="Currency 2 2 2" xfId="156" xr:uid="{00000000-0005-0000-0000-000053000000}"/>
    <cellStyle name="Currency 2 3" xfId="19" xr:uid="{00000000-0005-0000-0000-000054000000}"/>
    <cellStyle name="Currency 2 4" xfId="146" xr:uid="{00000000-0005-0000-0000-000055000000}"/>
    <cellStyle name="Currency 3" xfId="77" xr:uid="{00000000-0005-0000-0000-000056000000}"/>
    <cellStyle name="Currency 4" xfId="78" xr:uid="{00000000-0005-0000-0000-000057000000}"/>
    <cellStyle name="Currency 4 2" xfId="157" xr:uid="{00000000-0005-0000-0000-000058000000}"/>
    <cellStyle name="Currency 5" xfId="79" xr:uid="{00000000-0005-0000-0000-000059000000}"/>
    <cellStyle name="Currency 5 2" xfId="158" xr:uid="{00000000-0005-0000-0000-00005A000000}"/>
    <cellStyle name="Currency 6" xfId="119" xr:uid="{00000000-0005-0000-0000-00005B000000}"/>
    <cellStyle name="Currency 6 2" xfId="122" xr:uid="{00000000-0005-0000-0000-00005C000000}"/>
    <cellStyle name="Currency 7" xfId="135" xr:uid="{00000000-0005-0000-0000-00005D000000}"/>
    <cellStyle name="Currency 7 2" xfId="177" xr:uid="{00000000-0005-0000-0000-00005E000000}"/>
    <cellStyle name="Currency 8" xfId="190" xr:uid="{00000000-0005-0000-0000-00005F000000}"/>
    <cellStyle name="Date" xfId="191" xr:uid="{00000000-0005-0000-0000-000060000000}"/>
    <cellStyle name="DRN" xfId="192" xr:uid="{00000000-0005-0000-0000-000061000000}"/>
    <cellStyle name="Explanatory Text 2" xfId="80" xr:uid="{00000000-0005-0000-0000-000062000000}"/>
    <cellStyle name="Explanatory Text 3" xfId="81" xr:uid="{00000000-0005-0000-0000-000063000000}"/>
    <cellStyle name="FlowDirection" xfId="193" xr:uid="{00000000-0005-0000-0000-000064000000}"/>
    <cellStyle name="Good" xfId="213" builtinId="26"/>
    <cellStyle name="Good 2" xfId="82" xr:uid="{00000000-0005-0000-0000-000065000000}"/>
    <cellStyle name="Good 3" xfId="83" xr:uid="{00000000-0005-0000-0000-000066000000}"/>
    <cellStyle name="Heading 1 2" xfId="84" xr:uid="{00000000-0005-0000-0000-000067000000}"/>
    <cellStyle name="Heading 1 3" xfId="85" xr:uid="{00000000-0005-0000-0000-000068000000}"/>
    <cellStyle name="Heading 2 2" xfId="86" xr:uid="{00000000-0005-0000-0000-000069000000}"/>
    <cellStyle name="Heading 2 3" xfId="87" xr:uid="{00000000-0005-0000-0000-00006A000000}"/>
    <cellStyle name="Heading 3 2" xfId="88" xr:uid="{00000000-0005-0000-0000-00006B000000}"/>
    <cellStyle name="Heading 3 3" xfId="89" xr:uid="{00000000-0005-0000-0000-00006C000000}"/>
    <cellStyle name="Heading 4 2" xfId="90" xr:uid="{00000000-0005-0000-0000-00006D000000}"/>
    <cellStyle name="Heading 4 3" xfId="91" xr:uid="{00000000-0005-0000-0000-00006E000000}"/>
    <cellStyle name="Hyperlink" xfId="214" builtinId="8"/>
    <cellStyle name="Input 2" xfId="92" xr:uid="{00000000-0005-0000-0000-00006F000000}"/>
    <cellStyle name="Input 3" xfId="93" xr:uid="{00000000-0005-0000-0000-000070000000}"/>
    <cellStyle name="Linked Cell 2" xfId="94" xr:uid="{00000000-0005-0000-0000-000071000000}"/>
    <cellStyle name="Linked Cell 3" xfId="95" xr:uid="{00000000-0005-0000-0000-000072000000}"/>
    <cellStyle name="LocationType" xfId="194" xr:uid="{00000000-0005-0000-0000-000073000000}"/>
    <cellStyle name="Neutral 2" xfId="96" xr:uid="{00000000-0005-0000-0000-000074000000}"/>
    <cellStyle name="Neutral 3" xfId="97" xr:uid="{00000000-0005-0000-0000-000075000000}"/>
    <cellStyle name="Normal" xfId="0" builtinId="0"/>
    <cellStyle name="Normal 10" xfId="136" xr:uid="{00000000-0005-0000-0000-000077000000}"/>
    <cellStyle name="Normal 10 10" xfId="206" xr:uid="{B903E126-9360-483E-9E35-3260E0087839}"/>
    <cellStyle name="Normal 10 10 2" xfId="216" xr:uid="{DC4A9B78-06D0-49EA-9F5B-D6BB3A180B10}"/>
    <cellStyle name="Normal 10 2" xfId="178" xr:uid="{00000000-0005-0000-0000-000078000000}"/>
    <cellStyle name="Normal 11" xfId="138" xr:uid="{00000000-0005-0000-0000-000079000000}"/>
    <cellStyle name="Normal 11 2" xfId="180" xr:uid="{00000000-0005-0000-0000-00007A000000}"/>
    <cellStyle name="Normal 11 3" xfId="207" xr:uid="{7392FE55-0BC4-4AB8-B816-BB8763E85AD8}"/>
    <cellStyle name="Normal 11 3 2" xfId="217" xr:uid="{C05922C2-3C43-4BF5-8DF8-11EE9961496D}"/>
    <cellStyle name="Normal 11 4" xfId="208" xr:uid="{5EAC4768-FACE-4F35-AE0C-75672939483F}"/>
    <cellStyle name="Normal 11 4 2" xfId="218" xr:uid="{1B966E80-E252-4653-B413-C725A3F2C61E}"/>
    <cellStyle name="Normal 12" xfId="126" xr:uid="{00000000-0005-0000-0000-00007B000000}"/>
    <cellStyle name="Normal 12 2" xfId="170" xr:uid="{00000000-0005-0000-0000-00007C000000}"/>
    <cellStyle name="Normal 12 3" xfId="211" xr:uid="{1280F5C9-7040-4478-9337-00F0CA99190B}"/>
    <cellStyle name="Normal 13" xfId="141" xr:uid="{00000000-0005-0000-0000-00007D000000}"/>
    <cellStyle name="Normal 13 2" xfId="182" xr:uid="{00000000-0005-0000-0000-00007E000000}"/>
    <cellStyle name="Normal 13 3" xfId="185" xr:uid="{00000000-0005-0000-0000-00007F000000}"/>
    <cellStyle name="Normal 13 3 2" xfId="215" xr:uid="{C57DCBE8-ED9D-4AAD-9D69-53BD32C9CB20}"/>
    <cellStyle name="Normal 13 4" xfId="210" xr:uid="{C7FD870D-B4A8-4C3A-950C-8E8A53E294A6}"/>
    <cellStyle name="Normal 14" xfId="140" xr:uid="{00000000-0005-0000-0000-000080000000}"/>
    <cellStyle name="Normal 14 2" xfId="181" xr:uid="{00000000-0005-0000-0000-000081000000}"/>
    <cellStyle name="Normal 15" xfId="184" xr:uid="{00000000-0005-0000-0000-000082000000}"/>
    <cellStyle name="Normal 16" xfId="195" xr:uid="{00000000-0005-0000-0000-000083000000}"/>
    <cellStyle name="Normal 17" xfId="205" xr:uid="{88D4A81D-458C-47D2-9490-BE25CCE7FA51}"/>
    <cellStyle name="Normal 18 2" xfId="209" xr:uid="{6D9A4593-5161-4A70-9264-562F063499C8}"/>
    <cellStyle name="Normal 2" xfId="6" xr:uid="{00000000-0005-0000-0000-000084000000}"/>
    <cellStyle name="Normal 2 2" xfId="11" xr:uid="{00000000-0005-0000-0000-000085000000}"/>
    <cellStyle name="Normal 2 2 2" xfId="100" xr:uid="{00000000-0005-0000-0000-000086000000}"/>
    <cellStyle name="Normal 2 2 2 2" xfId="159" xr:uid="{00000000-0005-0000-0000-000087000000}"/>
    <cellStyle name="Normal 2 2 3" xfId="99" xr:uid="{00000000-0005-0000-0000-000088000000}"/>
    <cellStyle name="Normal 2 3" xfId="101" xr:uid="{00000000-0005-0000-0000-000089000000}"/>
    <cellStyle name="Normal 2 3 2" xfId="160" xr:uid="{00000000-0005-0000-0000-00008A000000}"/>
    <cellStyle name="Normal 2 4" xfId="98" xr:uid="{00000000-0005-0000-0000-00008B000000}"/>
    <cellStyle name="Normal 2 5" xfId="15" xr:uid="{00000000-0005-0000-0000-00008C000000}"/>
    <cellStyle name="Normal 2 5 2" xfId="152" xr:uid="{00000000-0005-0000-0000-00008D000000}"/>
    <cellStyle name="Normal 2 6" xfId="16" xr:uid="{00000000-0005-0000-0000-00008E000000}"/>
    <cellStyle name="Normal 2 6 2" xfId="153" xr:uid="{00000000-0005-0000-0000-00008F000000}"/>
    <cellStyle name="Normal 3" xfId="4" xr:uid="{00000000-0005-0000-0000-000090000000}"/>
    <cellStyle name="Normal 3 2" xfId="131" xr:uid="{00000000-0005-0000-0000-000091000000}"/>
    <cellStyle name="Normal 3 2 2" xfId="174" xr:uid="{00000000-0005-0000-0000-000092000000}"/>
    <cellStyle name="Normal 3 3" xfId="18" xr:uid="{00000000-0005-0000-0000-000093000000}"/>
    <cellStyle name="Normal 3 4" xfId="144" xr:uid="{00000000-0005-0000-0000-000094000000}"/>
    <cellStyle name="Normal 3_2012" xfId="133" xr:uid="{00000000-0005-0000-0000-000095000000}"/>
    <cellStyle name="Normal 4" xfId="8" xr:uid="{00000000-0005-0000-0000-000096000000}"/>
    <cellStyle name="Normal 4 2" xfId="121" xr:uid="{00000000-0005-0000-0000-000097000000}"/>
    <cellStyle name="Normal 4 2 2" xfId="125" xr:uid="{00000000-0005-0000-0000-000098000000}"/>
    <cellStyle name="Normal 4 2 2 2" xfId="169" xr:uid="{00000000-0005-0000-0000-000099000000}"/>
    <cellStyle name="Normal 4 2 3" xfId="168" xr:uid="{00000000-0005-0000-0000-00009A000000}"/>
    <cellStyle name="Normal 4 3" xfId="102" xr:uid="{00000000-0005-0000-0000-00009B000000}"/>
    <cellStyle name="Normal 4 3 2" xfId="161" xr:uid="{00000000-0005-0000-0000-00009C000000}"/>
    <cellStyle name="Normal 4 4" xfId="147" xr:uid="{00000000-0005-0000-0000-00009D000000}"/>
    <cellStyle name="Normal 5" xfId="103" xr:uid="{00000000-0005-0000-0000-00009E000000}"/>
    <cellStyle name="Normal 6" xfId="104" xr:uid="{00000000-0005-0000-0000-00009F000000}"/>
    <cellStyle name="Normal 6 2" xfId="129" xr:uid="{00000000-0005-0000-0000-0000A0000000}"/>
    <cellStyle name="Normal 6 3" xfId="162" xr:uid="{00000000-0005-0000-0000-0000A1000000}"/>
    <cellStyle name="Normal 7" xfId="105" xr:uid="{00000000-0005-0000-0000-0000A2000000}"/>
    <cellStyle name="Normal 7 2" xfId="163" xr:uid="{00000000-0005-0000-0000-0000A3000000}"/>
    <cellStyle name="Normal 8" xfId="118" xr:uid="{00000000-0005-0000-0000-0000A4000000}"/>
    <cellStyle name="Normal 8 2" xfId="123" xr:uid="{00000000-0005-0000-0000-0000A5000000}"/>
    <cellStyle name="Normal 9" xfId="13" xr:uid="{00000000-0005-0000-0000-0000A6000000}"/>
    <cellStyle name="Normal 9 2" xfId="150" xr:uid="{00000000-0005-0000-0000-0000A7000000}"/>
    <cellStyle name="Note 2" xfId="106" xr:uid="{00000000-0005-0000-0000-0000A8000000}"/>
    <cellStyle name="Note 2 2" xfId="164" xr:uid="{00000000-0005-0000-0000-0000A9000000}"/>
    <cellStyle name="Note 3" xfId="107" xr:uid="{00000000-0005-0000-0000-0000AA000000}"/>
    <cellStyle name="Note 3 2" xfId="165" xr:uid="{00000000-0005-0000-0000-0000AB000000}"/>
    <cellStyle name="Note 4" xfId="196" xr:uid="{00000000-0005-0000-0000-0000AC000000}"/>
    <cellStyle name="Output 2" xfId="108" xr:uid="{00000000-0005-0000-0000-0000AD000000}"/>
    <cellStyle name="Output 3" xfId="109" xr:uid="{00000000-0005-0000-0000-0000AE000000}"/>
    <cellStyle name="Percent" xfId="2" builtinId="5"/>
    <cellStyle name="Percent 10" xfId="197" xr:uid="{00000000-0005-0000-0000-0000B0000000}"/>
    <cellStyle name="Percent 2" xfId="3" xr:uid="{00000000-0005-0000-0000-0000B1000000}"/>
    <cellStyle name="Percent 2 2" xfId="110" xr:uid="{00000000-0005-0000-0000-0000B2000000}"/>
    <cellStyle name="Percent 2 2 2" xfId="166" xr:uid="{00000000-0005-0000-0000-0000B3000000}"/>
    <cellStyle name="Percent 2 2 5" xfId="186" xr:uid="{00000000-0005-0000-0000-0000B4000000}"/>
    <cellStyle name="Percent 2 3" xfId="17" xr:uid="{00000000-0005-0000-0000-0000B5000000}"/>
    <cellStyle name="Percent 2 3 2" xfId="154" xr:uid="{00000000-0005-0000-0000-0000B6000000}"/>
    <cellStyle name="Percent 2 4" xfId="143" xr:uid="{00000000-0005-0000-0000-0000B7000000}"/>
    <cellStyle name="Percent 3" xfId="10" xr:uid="{00000000-0005-0000-0000-0000B8000000}"/>
    <cellStyle name="Percent 3 2" xfId="111" xr:uid="{00000000-0005-0000-0000-0000B9000000}"/>
    <cellStyle name="Percent 3 2 2" xfId="167" xr:uid="{00000000-0005-0000-0000-0000BA000000}"/>
    <cellStyle name="Percent 3 3" xfId="20" xr:uid="{00000000-0005-0000-0000-0000BB000000}"/>
    <cellStyle name="Percent 3 4" xfId="149" xr:uid="{00000000-0005-0000-0000-0000BC000000}"/>
    <cellStyle name="Percent 4" xfId="120" xr:uid="{00000000-0005-0000-0000-0000BD000000}"/>
    <cellStyle name="Percent 4 2" xfId="124" xr:uid="{00000000-0005-0000-0000-0000BE000000}"/>
    <cellStyle name="Percent 5" xfId="134" xr:uid="{00000000-0005-0000-0000-0000BF000000}"/>
    <cellStyle name="Percent 5 2" xfId="176" xr:uid="{00000000-0005-0000-0000-0000C0000000}"/>
    <cellStyle name="Percent 6" xfId="198" xr:uid="{00000000-0005-0000-0000-0000C1000000}"/>
    <cellStyle name="Percent 7" xfId="212" xr:uid="{2A25EC88-67DE-487E-9283-AF9DC4029E68}"/>
    <cellStyle name="Pipeline" xfId="199" xr:uid="{00000000-0005-0000-0000-0000C2000000}"/>
    <cellStyle name="PointName" xfId="200" xr:uid="{00000000-0005-0000-0000-0000C3000000}"/>
    <cellStyle name="Region" xfId="201" xr:uid="{00000000-0005-0000-0000-0000C4000000}"/>
    <cellStyle name="State" xfId="202" xr:uid="{00000000-0005-0000-0000-0000C5000000}"/>
    <cellStyle name="Title 2" xfId="112" xr:uid="{00000000-0005-0000-0000-0000C6000000}"/>
    <cellStyle name="Title 3" xfId="113" xr:uid="{00000000-0005-0000-0000-0000C7000000}"/>
    <cellStyle name="Total 2" xfId="114" xr:uid="{00000000-0005-0000-0000-0000C8000000}"/>
    <cellStyle name="Total 3" xfId="115" xr:uid="{00000000-0005-0000-0000-0000C9000000}"/>
    <cellStyle name="Utilization" xfId="203" xr:uid="{00000000-0005-0000-0000-0000CA000000}"/>
    <cellStyle name="Volume" xfId="204" xr:uid="{00000000-0005-0000-0000-0000CB000000}"/>
    <cellStyle name="Warning Text 2" xfId="116" xr:uid="{00000000-0005-0000-0000-0000CC000000}"/>
    <cellStyle name="Warning Text 3" xfId="117" xr:uid="{00000000-0005-0000-0000-0000CD000000}"/>
  </cellStyles>
  <dxfs count="0"/>
  <tableStyles count="0" defaultTableStyle="TableStyleMedium9" defaultPivotStyle="PivotStyleLight16"/>
  <colors>
    <mruColors>
      <color rgb="FFCCFF99"/>
      <color rgb="FF9966FF"/>
      <color rgb="FFCC66FF"/>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s://www.canada.ca/en/environment-climate-change/services/climate-change/pricing-pollution-how-it-will-work/carbon-pollution-pricing-federal-benchmark-information/federal-benchmark-2023-2030.html" TargetMode="External"/><Relationship Id="rId1" Type="http://schemas.openxmlformats.org/officeDocument/2006/relationships/hyperlink" Target="https://www.canada.ca/en/revenue-agency/services/forms-publications/publications/fcrates/fuel-charge-rates.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E93A0-FD13-46CA-942B-DE7041C05328}">
  <sheetPr>
    <pageSetUpPr fitToPage="1"/>
  </sheetPr>
  <dimension ref="A1:Z60"/>
  <sheetViews>
    <sheetView tabSelected="1" zoomScaleNormal="100" workbookViewId="0"/>
  </sheetViews>
  <sheetFormatPr defaultColWidth="8.7109375" defaultRowHeight="12.75" x14ac:dyDescent="0.2"/>
  <cols>
    <col min="1" max="1" width="7.28515625" style="7" customWidth="1"/>
    <col min="2" max="2" width="12.28515625" style="7" customWidth="1"/>
    <col min="3" max="7" width="10.7109375" style="7" customWidth="1"/>
    <col min="8" max="8" width="12" style="149" customWidth="1"/>
    <col min="9" max="10" width="10.7109375" style="149" customWidth="1"/>
    <col min="11" max="11" width="7.28515625" style="149" customWidth="1"/>
    <col min="12" max="12" width="12" style="149" customWidth="1"/>
    <col min="13" max="14" width="12.140625" style="149" customWidth="1"/>
    <col min="15" max="15" width="7.7109375" style="7" customWidth="1"/>
    <col min="16" max="18" width="14" style="7" customWidth="1"/>
    <col min="19" max="19" width="7.85546875" style="7" customWidth="1"/>
    <col min="20" max="26" width="14" style="7" customWidth="1"/>
    <col min="27" max="29" width="8.7109375" style="7"/>
    <col min="30" max="30" width="8.7109375" style="7" customWidth="1"/>
    <col min="31" max="16384" width="8.7109375" style="7"/>
  </cols>
  <sheetData>
    <row r="1" spans="1:26" ht="13.5" thickBot="1" x14ac:dyDescent="0.25">
      <c r="B1" s="70" t="s">
        <v>0</v>
      </c>
    </row>
    <row r="2" spans="1:26" x14ac:dyDescent="0.2">
      <c r="A2" s="167"/>
      <c r="B2" s="168" t="s">
        <v>1</v>
      </c>
      <c r="C2" s="169"/>
      <c r="D2" s="45"/>
      <c r="E2" s="45"/>
      <c r="F2" s="45"/>
      <c r="G2" s="45"/>
      <c r="H2" s="178"/>
      <c r="I2" s="179" t="s">
        <v>2</v>
      </c>
      <c r="J2" s="180"/>
    </row>
    <row r="3" spans="1:26" x14ac:dyDescent="0.2">
      <c r="A3" s="44"/>
      <c r="B3" s="161" t="s">
        <v>3</v>
      </c>
      <c r="C3" s="161"/>
      <c r="D3" s="162">
        <f>'General Inputs'!C6</f>
        <v>0.04</v>
      </c>
      <c r="E3" s="45"/>
      <c r="F3" s="45"/>
      <c r="G3" s="45"/>
      <c r="H3" s="181" t="s">
        <v>4</v>
      </c>
      <c r="I3" s="182">
        <v>12442.79</v>
      </c>
      <c r="J3" s="183">
        <f>I3/I5</f>
        <v>0.45674118492622201</v>
      </c>
    </row>
    <row r="4" spans="1:26" ht="12.75" customHeight="1" thickBot="1" x14ac:dyDescent="0.25">
      <c r="A4" s="44"/>
      <c r="B4" s="368" t="s">
        <v>5</v>
      </c>
      <c r="C4" s="369"/>
      <c r="D4" s="172">
        <f>'General Inputs'!C5</f>
        <v>0.02</v>
      </c>
      <c r="F4" s="45"/>
      <c r="G4" s="45"/>
      <c r="H4" s="181" t="s">
        <v>6</v>
      </c>
      <c r="I4" s="182">
        <v>14799.75</v>
      </c>
      <c r="J4" s="183">
        <f>I4/I5</f>
        <v>0.54325881507377793</v>
      </c>
    </row>
    <row r="5" spans="1:26" ht="12.75" customHeight="1" thickTop="1" thickBot="1" x14ac:dyDescent="0.25">
      <c r="A5" s="44"/>
      <c r="B5" s="368" t="s">
        <v>7</v>
      </c>
      <c r="C5" s="369"/>
      <c r="D5" s="73">
        <f>'General Inputs'!C7</f>
        <v>6.0799999999999965E-2</v>
      </c>
      <c r="F5" s="46"/>
      <c r="G5" s="45"/>
      <c r="H5" s="184" t="s">
        <v>8</v>
      </c>
      <c r="I5" s="185">
        <f>SUM(I3:I4)</f>
        <v>27242.54</v>
      </c>
      <c r="J5" s="186"/>
      <c r="R5" s="149"/>
    </row>
    <row r="6" spans="1:26" x14ac:dyDescent="0.2">
      <c r="A6" s="44"/>
      <c r="B6" s="45"/>
      <c r="C6" s="45"/>
      <c r="D6" s="45"/>
      <c r="E6" s="45"/>
      <c r="F6" s="45"/>
      <c r="G6" s="45"/>
      <c r="H6" s="45"/>
      <c r="I6" s="45"/>
      <c r="J6" s="45"/>
      <c r="L6" s="45"/>
      <c r="P6" s="45"/>
      <c r="Q6" s="149"/>
      <c r="R6" s="149"/>
    </row>
    <row r="7" spans="1:26" ht="27.75" customHeight="1" x14ac:dyDescent="0.2">
      <c r="A7" s="44"/>
      <c r="B7" s="363" t="s">
        <v>9</v>
      </c>
      <c r="C7" s="364"/>
      <c r="D7" s="364"/>
      <c r="E7" s="364"/>
      <c r="F7" s="365"/>
      <c r="G7" s="45"/>
      <c r="H7" s="370" t="s">
        <v>10</v>
      </c>
      <c r="I7" s="371"/>
      <c r="J7" s="372"/>
      <c r="L7" s="363" t="s">
        <v>11</v>
      </c>
      <c r="M7" s="364"/>
      <c r="N7" s="365"/>
      <c r="P7" s="363" t="s">
        <v>12</v>
      </c>
      <c r="Q7" s="364"/>
      <c r="R7" s="365"/>
      <c r="S7" s="149"/>
      <c r="T7" s="363" t="s">
        <v>13</v>
      </c>
      <c r="U7" s="364"/>
      <c r="V7" s="365"/>
      <c r="X7" s="363" t="s">
        <v>14</v>
      </c>
      <c r="Y7" s="364"/>
      <c r="Z7" s="365"/>
    </row>
    <row r="8" spans="1:26" ht="13.35" customHeight="1" x14ac:dyDescent="0.2">
      <c r="A8" s="44"/>
      <c r="B8" s="170"/>
      <c r="C8" s="366" t="s">
        <v>15</v>
      </c>
      <c r="D8" s="366"/>
      <c r="E8" s="366" t="s">
        <v>16</v>
      </c>
      <c r="F8" s="367"/>
      <c r="G8" s="45"/>
      <c r="H8" s="245"/>
      <c r="I8" s="246"/>
      <c r="J8" s="247"/>
      <c r="L8" s="245"/>
      <c r="M8" s="246"/>
      <c r="N8" s="247"/>
      <c r="P8" s="245"/>
      <c r="Q8" s="246"/>
      <c r="R8" s="247"/>
      <c r="S8" s="149"/>
      <c r="T8" s="245"/>
      <c r="U8" s="246"/>
      <c r="V8" s="247"/>
      <c r="X8" s="245"/>
      <c r="Y8" s="246"/>
      <c r="Z8" s="247"/>
    </row>
    <row r="9" spans="1:26" x14ac:dyDescent="0.2">
      <c r="A9" s="44"/>
      <c r="B9" s="50" t="s">
        <v>17</v>
      </c>
      <c r="C9" s="282" t="s">
        <v>18</v>
      </c>
      <c r="D9" s="282" t="s">
        <v>19</v>
      </c>
      <c r="E9" s="150" t="s">
        <v>18</v>
      </c>
      <c r="F9" s="283" t="s">
        <v>19</v>
      </c>
      <c r="G9" s="45"/>
      <c r="H9" s="50" t="s">
        <v>17</v>
      </c>
      <c r="I9" s="248" t="s">
        <v>18</v>
      </c>
      <c r="J9" s="249" t="s">
        <v>19</v>
      </c>
      <c r="L9" s="50" t="s">
        <v>17</v>
      </c>
      <c r="M9" s="101" t="s">
        <v>18</v>
      </c>
      <c r="N9" s="105" t="s">
        <v>19</v>
      </c>
      <c r="P9" s="170" t="s">
        <v>17</v>
      </c>
      <c r="Q9" s="101" t="s">
        <v>18</v>
      </c>
      <c r="R9" s="105" t="s">
        <v>19</v>
      </c>
      <c r="S9" s="149"/>
      <c r="T9" s="170" t="str">
        <f>P9</f>
        <v>Year</v>
      </c>
      <c r="U9" s="101" t="s">
        <v>18</v>
      </c>
      <c r="V9" s="105" t="s">
        <v>19</v>
      </c>
      <c r="W9" s="187" t="s">
        <v>20</v>
      </c>
      <c r="X9" s="170" t="str">
        <f>T9</f>
        <v>Year</v>
      </c>
      <c r="Y9" s="101" t="s">
        <v>18</v>
      </c>
      <c r="Z9" s="105" t="s">
        <v>19</v>
      </c>
    </row>
    <row r="10" spans="1:26" x14ac:dyDescent="0.2">
      <c r="A10" s="44"/>
      <c r="B10" s="151">
        <v>2027</v>
      </c>
      <c r="C10" s="284">
        <f>'2025 EGD Avoided Costs'!C12*$J$3+'2025 UG Avoided Costs'!C12*$J$4</f>
        <v>0.20325150726562558</v>
      </c>
      <c r="D10" s="102">
        <f>C10</f>
        <v>0.20325150726562558</v>
      </c>
      <c r="E10" s="284">
        <f>'2025 EGD Avoided Costs'!E12*$J$3+'2025 UG Avoided Costs'!E12*$J$4</f>
        <v>0.24617259879671724</v>
      </c>
      <c r="F10" s="102">
        <f>E10</f>
        <v>0.24617259879671724</v>
      </c>
      <c r="G10" s="45"/>
      <c r="H10" s="250">
        <v>2027</v>
      </c>
      <c r="I10" s="251">
        <f>'Avoided Carbon'!D6</f>
        <v>0</v>
      </c>
      <c r="J10" s="199">
        <f>I10</f>
        <v>0</v>
      </c>
      <c r="L10" s="250">
        <v>2027</v>
      </c>
      <c r="M10" s="251">
        <f>'2025 EGD Avoided Costs'!I12*$J$3+'2025 UG Avoided Costs'!I12*$J$4</f>
        <v>1.078125845544919</v>
      </c>
      <c r="N10" s="199">
        <f>M10</f>
        <v>1.078125845544919</v>
      </c>
      <c r="P10" s="285">
        <f t="shared" ref="P10:P44" si="0">B10</f>
        <v>2027</v>
      </c>
      <c r="Q10" s="286">
        <f>'Avoided Electricity'!P10</f>
        <v>6.6456073567765991E-2</v>
      </c>
      <c r="R10" s="287">
        <f>Q10</f>
        <v>6.6456073567765991E-2</v>
      </c>
      <c r="S10" s="149"/>
      <c r="T10" s="250">
        <f t="shared" ref="T10:T44" si="1">B10</f>
        <v>2027</v>
      </c>
      <c r="U10" s="288">
        <f>'Avoided Electricity'!Q10</f>
        <v>210.84753075278533</v>
      </c>
      <c r="V10" s="289">
        <f>U10</f>
        <v>210.84753075278533</v>
      </c>
      <c r="W10" s="173" t="s">
        <v>21</v>
      </c>
      <c r="X10" s="250">
        <f t="shared" ref="X10:X44" si="2">B10</f>
        <v>2027</v>
      </c>
      <c r="Y10" s="288">
        <v>0</v>
      </c>
      <c r="Z10" s="289">
        <f>Y10</f>
        <v>0</v>
      </c>
    </row>
    <row r="11" spans="1:26" x14ac:dyDescent="0.2">
      <c r="A11" s="44"/>
      <c r="B11" s="151">
        <f>B10+1</f>
        <v>2028</v>
      </c>
      <c r="C11" s="47">
        <f>'2025 EGD Avoided Costs'!C13*$J$3+'2025 UG Avoided Costs'!C13*$J$4</f>
        <v>0.23641670860364772</v>
      </c>
      <c r="D11" s="103">
        <f>NPV($D$5,C11:C$11)+D$10</f>
        <v>0.42611793694478067</v>
      </c>
      <c r="E11" s="47">
        <f>'2025 EGD Avoided Costs'!E13*$J$3+'2025 UG Avoided Costs'!E13*$J$4</f>
        <v>0.26988088410184169</v>
      </c>
      <c r="F11" s="103">
        <f>NPV($D$5,E11:E$11)+F$10</f>
        <v>0.50058519693193759</v>
      </c>
      <c r="G11" s="196"/>
      <c r="H11" s="42">
        <f>H10+1</f>
        <v>2028</v>
      </c>
      <c r="I11" s="47">
        <f>'Avoided Carbon'!D7</f>
        <v>0</v>
      </c>
      <c r="J11" s="79">
        <f>NPV('2025 EGD Avoided Costs'!$D$5,I$11:I11)+J$10</f>
        <v>0</v>
      </c>
      <c r="L11" s="42">
        <f>L10+1</f>
        <v>2028</v>
      </c>
      <c r="M11" s="47">
        <f>'2025 EGD Avoided Costs'!I13*$J$3+'2025 UG Avoided Costs'!I13*$J$4</f>
        <v>1.0996883624558176</v>
      </c>
      <c r="N11" s="79">
        <f>NPV($D$5,M$11:M11)+N$10</f>
        <v>2.1147853124150338</v>
      </c>
      <c r="P11" s="152">
        <f t="shared" si="0"/>
        <v>2028</v>
      </c>
      <c r="Q11" s="153">
        <f>'Avoided Electricity'!P11</f>
        <v>6.5073214245392988E-2</v>
      </c>
      <c r="R11" s="154">
        <f>NPV($D$5,Q11:Q$11)+R$10</f>
        <v>0.1277996013254894</v>
      </c>
      <c r="S11" s="197"/>
      <c r="T11" s="42">
        <f t="shared" si="1"/>
        <v>2028</v>
      </c>
      <c r="U11" s="174">
        <f>'Avoided Electricity'!Q11</f>
        <v>242.80081887582779</v>
      </c>
      <c r="V11" s="155">
        <f>NPV($D$5,U11:U$11)+V$10</f>
        <v>439.73216393135601</v>
      </c>
      <c r="W11" s="173" t="s">
        <v>21</v>
      </c>
      <c r="X11" s="42">
        <f t="shared" si="2"/>
        <v>2028</v>
      </c>
      <c r="Y11" s="174">
        <v>0</v>
      </c>
      <c r="Z11" s="155">
        <f>NPV($D$5,Y11:Y$11)+Z$10</f>
        <v>0</v>
      </c>
    </row>
    <row r="12" spans="1:26" x14ac:dyDescent="0.2">
      <c r="A12" s="44"/>
      <c r="B12" s="151">
        <f t="shared" ref="B12:B44" si="3">B11+1</f>
        <v>2029</v>
      </c>
      <c r="C12" s="47">
        <f>'2025 EGD Avoided Costs'!C14*$J$3+'2025 UG Avoided Costs'!C14*$J$4</f>
        <v>0.2621597062613078</v>
      </c>
      <c r="D12" s="103">
        <f>NPV($D$5,C$11:C12)+D$10</f>
        <v>0.65908735757799941</v>
      </c>
      <c r="E12" s="47">
        <f>'2025 EGD Avoided Costs'!E14*$J$3+'2025 UG Avoided Costs'!E14*$J$4</f>
        <v>0.29629316526946559</v>
      </c>
      <c r="F12" s="103">
        <f>NPV($D$5,E$11:E12)+F$10</f>
        <v>0.76388747184983441</v>
      </c>
      <c r="G12" s="196"/>
      <c r="H12" s="42">
        <f t="shared" ref="H12:H44" si="4">H11+1</f>
        <v>2029</v>
      </c>
      <c r="I12" s="47">
        <f>'Avoided Carbon'!D8</f>
        <v>0</v>
      </c>
      <c r="J12" s="79">
        <f>NPV('2025 EGD Avoided Costs'!$D$5,I$11:I12)+J$10</f>
        <v>0</v>
      </c>
      <c r="L12" s="42">
        <f t="shared" ref="L12:L44" si="5">L11+1</f>
        <v>2029</v>
      </c>
      <c r="M12" s="47">
        <f>'2025 EGD Avoided Costs'!I14*$J$3+'2025 UG Avoided Costs'!I14*$J$4</f>
        <v>1.1216821297049338</v>
      </c>
      <c r="N12" s="79">
        <f>NPV($D$5,M$11:M12)+N$10</f>
        <v>3.1115732613286053</v>
      </c>
      <c r="P12" s="152">
        <f t="shared" si="0"/>
        <v>2029</v>
      </c>
      <c r="Q12" s="153">
        <f>'Avoided Electricity'!P12</f>
        <v>7.2246255660248948E-2</v>
      </c>
      <c r="R12" s="154">
        <f>NPV($D$5,Q$11:Q12)+R$10</f>
        <v>0.19200156647154099</v>
      </c>
      <c r="S12" s="197"/>
      <c r="T12" s="42">
        <f t="shared" si="1"/>
        <v>2029</v>
      </c>
      <c r="U12" s="174">
        <f>'Avoided Electricity'!Q12</f>
        <v>263.46802054268733</v>
      </c>
      <c r="V12" s="155">
        <f>NPV($D$5,U$11:U12)+V$10</f>
        <v>673.86422402769415</v>
      </c>
      <c r="W12" s="173" t="s">
        <v>21</v>
      </c>
      <c r="X12" s="42">
        <f t="shared" si="2"/>
        <v>2029</v>
      </c>
      <c r="Y12" s="174">
        <v>0</v>
      </c>
      <c r="Z12" s="155">
        <f>NPV($D$5,Y$11:Y12)+Z$10</f>
        <v>0</v>
      </c>
    </row>
    <row r="13" spans="1:26" x14ac:dyDescent="0.2">
      <c r="A13" s="44"/>
      <c r="B13" s="151">
        <f t="shared" si="3"/>
        <v>2030</v>
      </c>
      <c r="C13" s="47">
        <f>'2025 EGD Avoided Costs'!C15*$J$3+'2025 UG Avoided Costs'!C15*$J$4</f>
        <v>0.28326902723538039</v>
      </c>
      <c r="D13" s="103">
        <f>NPV($D$5,C$11:C13)+D$10</f>
        <v>0.89638780549820496</v>
      </c>
      <c r="E13" s="47">
        <f>'2025 EGD Avoided Costs'!E15*$J$3+'2025 UG Avoided Costs'!E15*$J$4</f>
        <v>0.3180851554237013</v>
      </c>
      <c r="F13" s="103">
        <f>NPV($D$5,E$11:E13)+F$10</f>
        <v>1.0303541258129996</v>
      </c>
      <c r="G13" s="196"/>
      <c r="H13" s="42">
        <f t="shared" si="4"/>
        <v>2030</v>
      </c>
      <c r="I13" s="47">
        <f>'Avoided Carbon'!D9</f>
        <v>0</v>
      </c>
      <c r="J13" s="79">
        <f>NPV('2025 EGD Avoided Costs'!$D$5,I$11:I13)+J$10</f>
        <v>0</v>
      </c>
      <c r="L13" s="42">
        <f t="shared" si="5"/>
        <v>2030</v>
      </c>
      <c r="M13" s="47">
        <f>'2025 EGD Avoided Costs'!I15*$J$3+'2025 UG Avoided Costs'!I15*$J$4</f>
        <v>1.1441157722990327</v>
      </c>
      <c r="N13" s="79">
        <f>NPV($D$5,M$11:M13)+N$10</f>
        <v>4.0700232122070394</v>
      </c>
      <c r="P13" s="152">
        <f t="shared" si="0"/>
        <v>2030</v>
      </c>
      <c r="Q13" s="153">
        <f>'Avoided Electricity'!P13</f>
        <v>6.7293650186686843E-2</v>
      </c>
      <c r="R13" s="154">
        <f>NPV($D$5,Q$11:Q13)+R$10</f>
        <v>0.24837487875116848</v>
      </c>
      <c r="S13" s="197"/>
      <c r="T13" s="42">
        <f t="shared" si="1"/>
        <v>2030</v>
      </c>
      <c r="U13" s="174">
        <f>'Avoided Electricity'!Q13</f>
        <v>290.39016280715839</v>
      </c>
      <c r="V13" s="155">
        <f>NPV($D$5,U$11:U13)+V$10</f>
        <v>917.13019764400508</v>
      </c>
      <c r="W13" s="173" t="s">
        <v>21</v>
      </c>
      <c r="X13" s="42">
        <f t="shared" si="2"/>
        <v>2030</v>
      </c>
      <c r="Y13" s="174">
        <v>0</v>
      </c>
      <c r="Z13" s="155">
        <f>NPV($D$5,Y$11:Y13)+Z$10</f>
        <v>0</v>
      </c>
    </row>
    <row r="14" spans="1:26" x14ac:dyDescent="0.2">
      <c r="A14" s="44"/>
      <c r="B14" s="151">
        <f t="shared" si="3"/>
        <v>2031</v>
      </c>
      <c r="C14" s="47">
        <f>'2025 EGD Avoided Costs'!C16*$J$3+'2025 UG Avoided Costs'!C16*$J$4</f>
        <v>0.29882227797782479</v>
      </c>
      <c r="D14" s="103">
        <f>NPV($D$5,C$11:C14)+D$10</f>
        <v>1.1323698328508423</v>
      </c>
      <c r="E14" s="47">
        <f>'2025 EGD Avoided Costs'!E16*$J$3+'2025 UG Avoided Costs'!E16*$J$4</f>
        <v>0.33433472872991221</v>
      </c>
      <c r="F14" s="103">
        <f>NPV($D$5,E$11:E14)+F$10</f>
        <v>1.2943805820530982</v>
      </c>
      <c r="G14" s="45"/>
      <c r="H14" s="42">
        <f t="shared" si="4"/>
        <v>2031</v>
      </c>
      <c r="I14" s="47">
        <f>'Avoided Carbon'!D10</f>
        <v>0</v>
      </c>
      <c r="J14" s="79">
        <f>NPV('2025 EGD Avoided Costs'!$D$5,I$11:I14)+J$10</f>
        <v>0</v>
      </c>
      <c r="L14" s="42">
        <f t="shared" si="5"/>
        <v>2031</v>
      </c>
      <c r="M14" s="47">
        <f>'2025 EGD Avoided Costs'!I16*$J$3+'2025 UG Avoided Costs'!I16*$J$4</f>
        <v>1.1669980877450135</v>
      </c>
      <c r="N14" s="79">
        <f>NPV($D$5,M$11:M14)+N$10</f>
        <v>4.9916097034363034</v>
      </c>
      <c r="P14" s="152">
        <f t="shared" si="0"/>
        <v>2031</v>
      </c>
      <c r="Q14" s="153">
        <f>'Avoided Electricity'!P14</f>
        <v>6.2393491510818258E-2</v>
      </c>
      <c r="R14" s="154">
        <f>NPV($D$5,Q$11:Q14)+R$10</f>
        <v>0.29764745213482063</v>
      </c>
      <c r="S14" s="149"/>
      <c r="T14" s="42">
        <f t="shared" si="1"/>
        <v>2031</v>
      </c>
      <c r="U14" s="174">
        <f>'Avoided Electricity'!Q14</f>
        <v>350.62866094379592</v>
      </c>
      <c r="V14" s="155">
        <f>NPV($D$5,U$11:U14)+V$10</f>
        <v>1194.0240852663919</v>
      </c>
      <c r="W14" s="173" t="s">
        <v>21</v>
      </c>
      <c r="X14" s="42">
        <f t="shared" si="2"/>
        <v>2031</v>
      </c>
      <c r="Y14" s="174">
        <v>0</v>
      </c>
      <c r="Z14" s="155">
        <f>NPV($D$5,Y$11:Y14)+Z$10</f>
        <v>0</v>
      </c>
    </row>
    <row r="15" spans="1:26" x14ac:dyDescent="0.2">
      <c r="A15" s="44"/>
      <c r="B15" s="151">
        <f t="shared" si="3"/>
        <v>2032</v>
      </c>
      <c r="C15" s="47">
        <f>'2025 EGD Avoided Costs'!C17*$J$3+'2025 UG Avoided Costs'!C17*$J$4</f>
        <v>0.29979870455592261</v>
      </c>
      <c r="D15" s="103">
        <f>NPV($D$5,C$11:C15)+D$10</f>
        <v>1.3555533907314465</v>
      </c>
      <c r="E15" s="47">
        <f>'2025 EGD Avoided Costs'!E17*$J$3+'2025 UG Avoided Costs'!E17*$J$4</f>
        <v>0.33602140432305178</v>
      </c>
      <c r="F15" s="103">
        <f>NPV($D$5,E$11:E15)+F$10</f>
        <v>1.5445299369408767</v>
      </c>
      <c r="G15" s="45"/>
      <c r="H15" s="42">
        <f t="shared" si="4"/>
        <v>2032</v>
      </c>
      <c r="I15" s="47">
        <f>'Avoided Carbon'!D11</f>
        <v>0</v>
      </c>
      <c r="J15" s="79">
        <f>NPV('2025 EGD Avoided Costs'!$D$5,I$11:I15)+J$10</f>
        <v>0</v>
      </c>
      <c r="L15" s="42">
        <f t="shared" si="5"/>
        <v>2032</v>
      </c>
      <c r="M15" s="47">
        <f>'2025 EGD Avoided Costs'!I17*$J$3+'2025 UG Avoided Costs'!I17*$J$4</f>
        <v>1.1903380494999136</v>
      </c>
      <c r="N15" s="79">
        <f>NPV($D$5,M$11:M15)+N$10</f>
        <v>5.8777505603875184</v>
      </c>
      <c r="P15" s="152">
        <f t="shared" si="0"/>
        <v>2032</v>
      </c>
      <c r="Q15" s="153">
        <f>'Avoided Electricity'!P15</f>
        <v>5.4452310800233945E-2</v>
      </c>
      <c r="R15" s="154">
        <f>NPV($D$5,Q$11:Q15)+R$10</f>
        <v>0.33818418653204929</v>
      </c>
      <c r="S15" s="149"/>
      <c r="T15" s="42">
        <f t="shared" si="1"/>
        <v>2032</v>
      </c>
      <c r="U15" s="174">
        <f>'Avoided Electricity'!Q15</f>
        <v>391.38695232078106</v>
      </c>
      <c r="V15" s="155">
        <f>NPV($D$5,U$11:U15)+V$10</f>
        <v>1485.3900291465941</v>
      </c>
      <c r="W15" s="173" t="s">
        <v>21</v>
      </c>
      <c r="X15" s="42">
        <f t="shared" si="2"/>
        <v>2032</v>
      </c>
      <c r="Y15" s="174">
        <v>0</v>
      </c>
      <c r="Z15" s="155">
        <f>NPV($D$5,Y$11:Y15)+Z$10</f>
        <v>0</v>
      </c>
    </row>
    <row r="16" spans="1:26" x14ac:dyDescent="0.2">
      <c r="A16" s="44"/>
      <c r="B16" s="151">
        <f t="shared" si="3"/>
        <v>2033</v>
      </c>
      <c r="C16" s="47">
        <f>'2025 EGD Avoided Costs'!C18*$J$3+'2025 UG Avoided Costs'!C18*$J$4</f>
        <v>0.31148212965660377</v>
      </c>
      <c r="D16" s="103">
        <f>NPV($D$5,C$11:C16)+D$10</f>
        <v>1.5741442861138883</v>
      </c>
      <c r="E16" s="47">
        <f>'2025 EGD Avoided Costs'!E18*$J$3+'2025 UG Avoided Costs'!E18*$J$4</f>
        <v>0.34842928341907553</v>
      </c>
      <c r="F16" s="103">
        <f>NPV($D$5,E$11:E16)+F$10</f>
        <v>1.7890494832917554</v>
      </c>
      <c r="G16" s="45"/>
      <c r="H16" s="42">
        <f t="shared" si="4"/>
        <v>2033</v>
      </c>
      <c r="I16" s="47">
        <f>'Avoided Carbon'!D12</f>
        <v>0</v>
      </c>
      <c r="J16" s="79">
        <f>NPV('2025 EGD Avoided Costs'!$D$5,I$11:I16)+J$10</f>
        <v>0</v>
      </c>
      <c r="L16" s="42">
        <f t="shared" si="5"/>
        <v>2033</v>
      </c>
      <c r="M16" s="47">
        <f>'2025 EGD Avoided Costs'!I18*$J$3+'2025 UG Avoided Costs'!I18*$J$4</f>
        <v>1.2141448104899122</v>
      </c>
      <c r="N16" s="79">
        <f>NPV($D$5,M$11:M16)+N$10</f>
        <v>6.7298090766867649</v>
      </c>
      <c r="P16" s="152">
        <f t="shared" si="0"/>
        <v>2033</v>
      </c>
      <c r="Q16" s="153">
        <f>'Avoided Electricity'!P16</f>
        <v>4.8109743099692466E-2</v>
      </c>
      <c r="R16" s="154">
        <f>NPV($D$5,Q$11:Q16)+R$10</f>
        <v>0.37194648240557143</v>
      </c>
      <c r="S16" s="149"/>
      <c r="T16" s="42">
        <f t="shared" si="1"/>
        <v>2033</v>
      </c>
      <c r="U16" s="174">
        <f>'Avoided Electricity'!Q16</f>
        <v>397.75561364074224</v>
      </c>
      <c r="V16" s="155">
        <f>NPV($D$5,U$11:U16)+V$10</f>
        <v>1764.5256438445438</v>
      </c>
      <c r="W16" s="173" t="s">
        <v>21</v>
      </c>
      <c r="X16" s="42">
        <f t="shared" si="2"/>
        <v>2033</v>
      </c>
      <c r="Y16" s="174">
        <v>0</v>
      </c>
      <c r="Z16" s="155">
        <f>NPV($D$5,Y$11:Y16)+Z$10</f>
        <v>0</v>
      </c>
    </row>
    <row r="17" spans="1:26" x14ac:dyDescent="0.2">
      <c r="A17" s="44"/>
      <c r="B17" s="151">
        <f t="shared" si="3"/>
        <v>2034</v>
      </c>
      <c r="C17" s="47">
        <f>'2025 EGD Avoided Costs'!C19*$J$3+'2025 UG Avoided Costs'!C19*$J$4</f>
        <v>0.3135473606606014</v>
      </c>
      <c r="D17" s="103">
        <f>NPV($D$5,C$11:C17)+D$10</f>
        <v>1.7815728554422492</v>
      </c>
      <c r="E17" s="47">
        <f>'2025 EGD Avoided Costs'!E19*$J$3+'2025 UG Avoided Costs'!E19*$J$4</f>
        <v>0.35123345749832258</v>
      </c>
      <c r="F17" s="103">
        <f>NPV($D$5,E$11:E17)+F$10</f>
        <v>2.0214094477820748</v>
      </c>
      <c r="G17" s="45"/>
      <c r="H17" s="42">
        <f t="shared" si="4"/>
        <v>2034</v>
      </c>
      <c r="I17" s="47">
        <f>'Avoided Carbon'!D13</f>
        <v>0</v>
      </c>
      <c r="J17" s="79">
        <f>NPV('2025 EGD Avoided Costs'!$D$5,I$11:I17)+J$10</f>
        <v>0</v>
      </c>
      <c r="L17" s="42">
        <f t="shared" si="5"/>
        <v>2034</v>
      </c>
      <c r="M17" s="47">
        <f>'2025 EGD Avoided Costs'!I19*$J$3+'2025 UG Avoided Costs'!I19*$J$4</f>
        <v>1.2384277066997105</v>
      </c>
      <c r="N17" s="79">
        <f>NPV($D$5,M$11:M17)+N$10</f>
        <v>7.5490961115898862</v>
      </c>
      <c r="P17" s="152">
        <f t="shared" si="0"/>
        <v>2034</v>
      </c>
      <c r="Q17" s="153">
        <f>'Avoided Electricity'!P17</f>
        <v>4.0484753766186536E-2</v>
      </c>
      <c r="R17" s="154">
        <f>NPV($D$5,Q$11:Q17)+R$10</f>
        <v>0.39872934077707306</v>
      </c>
      <c r="S17" s="149"/>
      <c r="T17" s="42">
        <f t="shared" si="1"/>
        <v>2034</v>
      </c>
      <c r="U17" s="174">
        <f>'Avoided Electricity'!Q17</f>
        <v>398.72019531800913</v>
      </c>
      <c r="V17" s="155">
        <f>NPV($D$5,U$11:U17)+V$10</f>
        <v>2028.3006585756166</v>
      </c>
      <c r="W17" s="173" t="s">
        <v>21</v>
      </c>
      <c r="X17" s="42">
        <f t="shared" si="2"/>
        <v>2034</v>
      </c>
      <c r="Y17" s="174">
        <v>0</v>
      </c>
      <c r="Z17" s="155">
        <f>NPV($D$5,Y$11:Y17)+Z$10</f>
        <v>0</v>
      </c>
    </row>
    <row r="18" spans="1:26" x14ac:dyDescent="0.2">
      <c r="A18" s="44"/>
      <c r="B18" s="151">
        <f t="shared" si="3"/>
        <v>2035</v>
      </c>
      <c r="C18" s="47">
        <f>'2025 EGD Avoided Costs'!C20*$J$3+'2025 UG Avoided Costs'!C20*$J$4</f>
        <v>0.31595285408264911</v>
      </c>
      <c r="D18" s="103">
        <f>NPV($D$5,C$11:C18)+D$10</f>
        <v>1.9786127626575412</v>
      </c>
      <c r="E18" s="47">
        <f>'2025 EGD Avoided Costs'!E20*$J$3+'2025 UG Avoided Costs'!E20*$J$4</f>
        <v>0.35439267285712472</v>
      </c>
      <c r="F18" s="103">
        <f>NPV($D$5,E$11:E18)+F$10</f>
        <v>2.2424218503454036</v>
      </c>
      <c r="G18" s="45"/>
      <c r="H18" s="42">
        <f t="shared" si="4"/>
        <v>2035</v>
      </c>
      <c r="I18" s="47">
        <f>'Avoided Carbon'!D14</f>
        <v>0</v>
      </c>
      <c r="J18" s="79">
        <f>NPV('2025 EGD Avoided Costs'!$D$5,I$11:I18)+J$10</f>
        <v>0</v>
      </c>
      <c r="L18" s="42">
        <f t="shared" si="5"/>
        <v>2035</v>
      </c>
      <c r="M18" s="47">
        <f>'2025 EGD Avoided Costs'!I20*$J$3+'2025 UG Avoided Costs'!I20*$J$4</f>
        <v>1.2631962608337046</v>
      </c>
      <c r="N18" s="79">
        <f>NPV($D$5,M$11:M18)+N$10</f>
        <v>8.3368721066890394</v>
      </c>
      <c r="P18" s="152">
        <f t="shared" si="0"/>
        <v>2035</v>
      </c>
      <c r="Q18" s="153">
        <f>'Avoided Electricity'!P18</f>
        <v>3.5190730973798184E-2</v>
      </c>
      <c r="R18" s="154">
        <f>NPV($D$5,Q$11:Q18)+R$10</f>
        <v>0.42067558457995913</v>
      </c>
      <c r="S18" s="149"/>
      <c r="T18" s="42">
        <f t="shared" si="1"/>
        <v>2035</v>
      </c>
      <c r="U18" s="174">
        <f>'Avoided Electricity'!Q18</f>
        <v>400.98315303322687</v>
      </c>
      <c r="V18" s="155">
        <f>NPV($D$5,U$11:U18)+V$10</f>
        <v>2278.3686109540254</v>
      </c>
      <c r="W18" s="173" t="s">
        <v>21</v>
      </c>
      <c r="X18" s="42">
        <f t="shared" si="2"/>
        <v>2035</v>
      </c>
      <c r="Y18" s="174">
        <v>0</v>
      </c>
      <c r="Z18" s="155">
        <f>NPV($D$5,Y$11:Y18)+Z$10</f>
        <v>0</v>
      </c>
    </row>
    <row r="19" spans="1:26" x14ac:dyDescent="0.2">
      <c r="A19" s="44"/>
      <c r="B19" s="42">
        <f t="shared" si="3"/>
        <v>2036</v>
      </c>
      <c r="C19" s="47">
        <f>'2025 EGD Avoided Costs'!C21*$J$3+'2025 UG Avoided Costs'!C21*$J$4</f>
        <v>0.32049165816504011</v>
      </c>
      <c r="D19" s="103">
        <f>NPV($D$5,C$11:C19)+D$10</f>
        <v>2.1670276133581856</v>
      </c>
      <c r="E19" s="47">
        <f>'2025 EGD Avoided Costs'!E21*$J$3+'2025 UG Avoided Costs'!E21*$J$4</f>
        <v>0.3597002733150052</v>
      </c>
      <c r="F19" s="103">
        <f>NPV($D$5,E$11:E19)+F$10</f>
        <v>2.4538871773422373</v>
      </c>
      <c r="G19" s="156"/>
      <c r="H19" s="42">
        <f t="shared" si="4"/>
        <v>2036</v>
      </c>
      <c r="I19" s="47">
        <f>'Avoided Carbon'!D15</f>
        <v>0</v>
      </c>
      <c r="J19" s="79">
        <f>NPV('2025 EGD Avoided Costs'!$D$5,I$11:I19)+J$10</f>
        <v>0</v>
      </c>
      <c r="L19" s="42">
        <f t="shared" si="5"/>
        <v>2036</v>
      </c>
      <c r="M19" s="47">
        <f>'2025 EGD Avoided Costs'!I21*$J$3+'2025 UG Avoided Costs'!I21*$J$4</f>
        <v>1.2884601860503784</v>
      </c>
      <c r="N19" s="79">
        <f>NPV($D$5,M$11:M19)+N$10</f>
        <v>9.0943490250536119</v>
      </c>
      <c r="P19" s="152">
        <f t="shared" si="0"/>
        <v>2036</v>
      </c>
      <c r="Q19" s="153">
        <f>'Avoided Electricity'!P19</f>
        <v>4.0093319805818539E-2</v>
      </c>
      <c r="R19" s="154">
        <f>NPV($D$5,Q$11:Q19)+R$10</f>
        <v>0.44424617268374184</v>
      </c>
      <c r="S19" s="157"/>
      <c r="T19" s="42">
        <f t="shared" si="1"/>
        <v>2036</v>
      </c>
      <c r="U19" s="174">
        <f>'Avoided Electricity'!Q19</f>
        <v>399.48328351160274</v>
      </c>
      <c r="V19" s="155">
        <f>NPV($D$5,U$11:U19)+V$10</f>
        <v>2513.2220971607758</v>
      </c>
      <c r="W19" s="173" t="s">
        <v>21</v>
      </c>
      <c r="X19" s="42">
        <f t="shared" si="2"/>
        <v>2036</v>
      </c>
      <c r="Y19" s="174">
        <v>0</v>
      </c>
      <c r="Z19" s="155">
        <f>NPV($D$5,Y$11:Y19)+Z$10</f>
        <v>0</v>
      </c>
    </row>
    <row r="20" spans="1:26" x14ac:dyDescent="0.2">
      <c r="A20" s="44"/>
      <c r="B20" s="42">
        <f t="shared" si="3"/>
        <v>2037</v>
      </c>
      <c r="C20" s="47">
        <f>'2025 EGD Avoided Costs'!C22*$J$3+'2025 UG Avoided Costs'!C22*$J$4</f>
        <v>0.32912810245283841</v>
      </c>
      <c r="D20" s="103">
        <f>NPV($D$5,C$11:C20)+D$10</f>
        <v>2.349429722279833</v>
      </c>
      <c r="E20" s="47">
        <f>'2025 EGD Avoided Costs'!E22*$J$3+'2025 UG Avoided Costs'!E22*$J$4</f>
        <v>0.36912088990580283</v>
      </c>
      <c r="F20" s="103">
        <f>NPV($D$5,E$11:E20)+F$10</f>
        <v>2.6584532057794514</v>
      </c>
      <c r="G20" s="45"/>
      <c r="H20" s="42">
        <f t="shared" si="4"/>
        <v>2037</v>
      </c>
      <c r="I20" s="47">
        <f>'Avoided Carbon'!D16</f>
        <v>0</v>
      </c>
      <c r="J20" s="79">
        <f>NPV('2025 EGD Avoided Costs'!$D$5,I$11:I20)+J$10</f>
        <v>0</v>
      </c>
      <c r="L20" s="42">
        <f t="shared" si="5"/>
        <v>2037</v>
      </c>
      <c r="M20" s="47">
        <f>'2025 EGD Avoided Costs'!I22*$J$3+'2025 UG Avoided Costs'!I22*$J$4</f>
        <v>1.3142293897713859</v>
      </c>
      <c r="N20" s="79">
        <f>NPV($D$5,M$11:M20)+N$10</f>
        <v>9.822692215788777</v>
      </c>
      <c r="P20" s="152">
        <f t="shared" si="0"/>
        <v>2037</v>
      </c>
      <c r="Q20" s="153">
        <f>'Avoided Electricity'!P20</f>
        <v>4.2355786744105943E-2</v>
      </c>
      <c r="R20" s="154">
        <f>NPV($D$5,Q$11:Q20)+R$10</f>
        <v>0.46771966148516536</v>
      </c>
      <c r="S20" s="157"/>
      <c r="T20" s="42">
        <f t="shared" si="1"/>
        <v>2037</v>
      </c>
      <c r="U20" s="174">
        <f>'Avoided Electricity'!Q20</f>
        <v>406.81999201647369</v>
      </c>
      <c r="V20" s="155">
        <f>NPV($D$5,U$11:U20)+V$10</f>
        <v>2738.6808894737947</v>
      </c>
      <c r="W20" s="173" t="s">
        <v>21</v>
      </c>
      <c r="X20" s="42">
        <f t="shared" si="2"/>
        <v>2037</v>
      </c>
      <c r="Y20" s="174">
        <v>0</v>
      </c>
      <c r="Z20" s="155">
        <f>NPV($D$5,Y$11:Y20)+Z$10</f>
        <v>0</v>
      </c>
    </row>
    <row r="21" spans="1:26" x14ac:dyDescent="0.2">
      <c r="A21" s="44"/>
      <c r="B21" s="42">
        <f t="shared" si="3"/>
        <v>2038</v>
      </c>
      <c r="C21" s="47">
        <f>'2025 EGD Avoided Costs'!C23*$J$3+'2025 UG Avoided Costs'!C23*$J$4</f>
        <v>0.34089754873988942</v>
      </c>
      <c r="D21" s="103">
        <f>NPV($D$5,C$11:C21)+D$10</f>
        <v>2.5275261698121927</v>
      </c>
      <c r="E21" s="47">
        <f>'2025 EGD Avoided Costs'!E23*$J$3+'2025 UG Avoided Costs'!E23*$J$4</f>
        <v>0.38169019194191312</v>
      </c>
      <c r="F21" s="103">
        <f>NPV($D$5,E$11:E21)+F$10</f>
        <v>2.857861114384471</v>
      </c>
      <c r="G21" s="45"/>
      <c r="H21" s="42">
        <f t="shared" si="4"/>
        <v>2038</v>
      </c>
      <c r="I21" s="47">
        <f>'Avoided Carbon'!D17</f>
        <v>0</v>
      </c>
      <c r="J21" s="79">
        <f>NPV('2025 EGD Avoided Costs'!$D$5,I$11:I21)+J$10</f>
        <v>0</v>
      </c>
      <c r="L21" s="42">
        <f t="shared" si="5"/>
        <v>2038</v>
      </c>
      <c r="M21" s="47">
        <f>'2025 EGD Avoided Costs'!I23*$J$3+'2025 UG Avoided Costs'!I23*$J$4</f>
        <v>1.340513977566814</v>
      </c>
      <c r="N21" s="79">
        <f>NPV($D$5,M$11:M21)+N$10</f>
        <v>10.523022206880283</v>
      </c>
      <c r="P21" s="152">
        <f t="shared" si="0"/>
        <v>2038</v>
      </c>
      <c r="Q21" s="153">
        <f>'Avoided Electricity'!P21</f>
        <v>4.7867063532383493E-2</v>
      </c>
      <c r="R21" s="154">
        <f>NPV($D$5,Q$11:Q21)+R$10</f>
        <v>0.49272703980288962</v>
      </c>
      <c r="S21" s="157"/>
      <c r="T21" s="42">
        <f t="shared" si="1"/>
        <v>2038</v>
      </c>
      <c r="U21" s="174">
        <f>'Avoided Electricity'!Q21</f>
        <v>422.66889603529876</v>
      </c>
      <c r="V21" s="155">
        <f>NPV($D$5,U$11:U21)+V$10</f>
        <v>2959.4974636749412</v>
      </c>
      <c r="W21" s="173" t="s">
        <v>21</v>
      </c>
      <c r="X21" s="42">
        <f t="shared" si="2"/>
        <v>2038</v>
      </c>
      <c r="Y21" s="174">
        <v>0</v>
      </c>
      <c r="Z21" s="155">
        <f>NPV($D$5,Y$11:Y21)+Z$10</f>
        <v>0</v>
      </c>
    </row>
    <row r="22" spans="1:26" x14ac:dyDescent="0.2">
      <c r="A22" s="44"/>
      <c r="B22" s="42">
        <f t="shared" si="3"/>
        <v>2039</v>
      </c>
      <c r="C22" s="47">
        <f>'2025 EGD Avoided Costs'!C24*$J$3+'2025 UG Avoided Costs'!C24*$J$4</f>
        <v>0.35573167506814651</v>
      </c>
      <c r="D22" s="103">
        <f>NPV($D$5,C$11:C22)+D$10</f>
        <v>2.702720644274673</v>
      </c>
      <c r="E22" s="47">
        <f>'2025 EGD Avoided Costs'!E24*$J$3+'2025 UG Avoided Costs'!E24*$J$4</f>
        <v>0.39734017113421072</v>
      </c>
      <c r="F22" s="103">
        <f>NPV($D$5,E$11:E22)+F$10</f>
        <v>3.053547378339895</v>
      </c>
      <c r="G22" s="45"/>
      <c r="H22" s="42">
        <f t="shared" si="4"/>
        <v>2039</v>
      </c>
      <c r="I22" s="47">
        <f>'Avoided Carbon'!D18</f>
        <v>0</v>
      </c>
      <c r="J22" s="79">
        <f>NPV('2025 EGD Avoided Costs'!$D$5,I$11:I22)+J$10</f>
        <v>0</v>
      </c>
      <c r="L22" s="42">
        <f t="shared" si="5"/>
        <v>2039</v>
      </c>
      <c r="M22" s="47">
        <f>'2025 EGD Avoided Costs'!I24*$J$3+'2025 UG Avoided Costs'!I24*$J$4</f>
        <v>1.3673242571181503</v>
      </c>
      <c r="N22" s="79">
        <f>NPV($D$5,M$11:M22)+N$10</f>
        <v>11.196416429083653</v>
      </c>
      <c r="P22" s="152">
        <f t="shared" si="0"/>
        <v>2039</v>
      </c>
      <c r="Q22" s="153">
        <f>'Avoided Electricity'!P22</f>
        <v>5.8952603362969848E-2</v>
      </c>
      <c r="R22" s="154">
        <f>NPV($D$5,Q$11:Q22)+R$10</f>
        <v>0.52176063756275182</v>
      </c>
      <c r="S22" s="157"/>
      <c r="T22" s="42">
        <f t="shared" si="1"/>
        <v>2039</v>
      </c>
      <c r="U22" s="174">
        <v>0</v>
      </c>
      <c r="V22" s="155">
        <f>NPV($D$5,U$11:U22)+V$10</f>
        <v>2959.4974636749412</v>
      </c>
      <c r="W22" s="173" t="s">
        <v>22</v>
      </c>
      <c r="X22" s="42">
        <f t="shared" si="2"/>
        <v>2039</v>
      </c>
      <c r="Y22" s="174">
        <f>'Avoided Electricity'!Q22</f>
        <v>431.12227395600462</v>
      </c>
      <c r="Z22" s="155">
        <f>NPV($D$5,Y$11:Y22)+Z$10</f>
        <v>212.32362903956437</v>
      </c>
    </row>
    <row r="23" spans="1:26" x14ac:dyDescent="0.2">
      <c r="A23" s="44"/>
      <c r="B23" s="42">
        <f t="shared" si="3"/>
        <v>2040</v>
      </c>
      <c r="C23" s="47">
        <f>'2025 EGD Avoided Costs'!C25*$J$3+'2025 UG Avoided Costs'!C25*$J$4</f>
        <v>0.36652313408462178</v>
      </c>
      <c r="D23" s="103">
        <f>NPV($D$5,C$11:C23)+D$10</f>
        <v>2.8728838848750016</v>
      </c>
      <c r="E23" s="47">
        <f>'2025 EGD Avoided Costs'!E25*$J$3+'2025 UG Avoided Costs'!E25*$J$4</f>
        <v>0.40896380007200722</v>
      </c>
      <c r="F23" s="103">
        <f>NPV($D$5,E$11:E23)+F$10</f>
        <v>3.2434142626834377</v>
      </c>
      <c r="G23" s="45"/>
      <c r="H23" s="42">
        <f t="shared" si="4"/>
        <v>2040</v>
      </c>
      <c r="I23" s="47">
        <f>'Avoided Carbon'!D19</f>
        <v>0</v>
      </c>
      <c r="J23" s="79">
        <f>NPV('2025 EGD Avoided Costs'!$D$5,I$11:I23)+J$10</f>
        <v>0</v>
      </c>
      <c r="L23" s="42">
        <f t="shared" si="5"/>
        <v>2040</v>
      </c>
      <c r="M23" s="47">
        <f>'2025 EGD Avoided Costs'!I25*$J$3+'2025 UG Avoided Costs'!I25*$J$4</f>
        <v>1.3946707422605134</v>
      </c>
      <c r="N23" s="79">
        <f>NPV($D$5,M$11:M23)+N$10</f>
        <v>11.843910873509971</v>
      </c>
      <c r="P23" s="152">
        <f t="shared" si="0"/>
        <v>2040</v>
      </c>
      <c r="Q23" s="153">
        <f>'Avoided Electricity'!P23</f>
        <v>5.7364373407579904E-2</v>
      </c>
      <c r="R23" s="154">
        <f>NPV($D$5,Q$11:Q23)+R$10</f>
        <v>0.54839281099545922</v>
      </c>
      <c r="S23" s="157"/>
      <c r="T23" s="42">
        <f t="shared" si="1"/>
        <v>2040</v>
      </c>
      <c r="U23" s="174">
        <f>'Avoided Electricity'!Q23</f>
        <v>446.92160464376224</v>
      </c>
      <c r="V23" s="155">
        <f>NPV($D$5,U$11:U23)+V$10</f>
        <v>3166.9867637171137</v>
      </c>
      <c r="W23" s="173" t="s">
        <v>21</v>
      </c>
      <c r="X23" s="42">
        <f t="shared" si="2"/>
        <v>2040</v>
      </c>
      <c r="Y23" s="174">
        <v>0</v>
      </c>
      <c r="Z23" s="155">
        <f>NPV($D$5,Y$11:Y23)+Z$10</f>
        <v>212.32362903956437</v>
      </c>
    </row>
    <row r="24" spans="1:26" x14ac:dyDescent="0.2">
      <c r="A24" s="44"/>
      <c r="B24" s="42">
        <f t="shared" si="3"/>
        <v>2041</v>
      </c>
      <c r="C24" s="47">
        <f>'2025 EGD Avoided Costs'!C26*$J$3+'2025 UG Avoided Costs'!C26*$J$4</f>
        <v>0.38117320433806379</v>
      </c>
      <c r="D24" s="103">
        <f>NPV($D$5,C$11:C24)+D$10</f>
        <v>3.039705840564249</v>
      </c>
      <c r="E24" s="47">
        <f>'2025 EGD Avoided Costs'!E26*$J$3+'2025 UG Avoided Costs'!E26*$J$4</f>
        <v>0.4244626836451969</v>
      </c>
      <c r="F24" s="103">
        <f>NPV($D$5,E$11:E24)+F$10</f>
        <v>3.4291820296642364</v>
      </c>
      <c r="G24" s="158"/>
      <c r="H24" s="42">
        <f t="shared" si="4"/>
        <v>2041</v>
      </c>
      <c r="I24" s="47">
        <f>'Avoided Carbon'!D20</f>
        <v>0</v>
      </c>
      <c r="J24" s="79">
        <f>NPV('2025 EGD Avoided Costs'!$D$5,I$11:I24)+J$10</f>
        <v>0</v>
      </c>
      <c r="L24" s="42">
        <f t="shared" si="5"/>
        <v>2041</v>
      </c>
      <c r="M24" s="47">
        <f>'2025 EGD Avoided Costs'!I26*$J$3+'2025 UG Avoided Costs'!I26*$J$4</f>
        <v>1.4225641571057237</v>
      </c>
      <c r="N24" s="79">
        <f>NPV($D$5,M$11:M24)+N$10</f>
        <v>12.466501685458354</v>
      </c>
      <c r="P24" s="152">
        <f t="shared" si="0"/>
        <v>2041</v>
      </c>
      <c r="Q24" s="153">
        <f>'Avoided Electricity'!P24</f>
        <v>6.2381721918931293E-2</v>
      </c>
      <c r="R24" s="154">
        <f>NPV($D$5,Q$11:Q24)+R$10</f>
        <v>0.57569441753900097</v>
      </c>
      <c r="S24" s="157"/>
      <c r="T24" s="42">
        <f t="shared" si="1"/>
        <v>2041</v>
      </c>
      <c r="U24" s="174">
        <f>'Avoided Electricity'!Q24</f>
        <v>463.90451850801139</v>
      </c>
      <c r="V24" s="155">
        <f>NPV($D$5,U$11:U24)+V$10</f>
        <v>3370.0164052287137</v>
      </c>
      <c r="W24" s="173" t="s">
        <v>21</v>
      </c>
      <c r="X24" s="42">
        <f t="shared" si="2"/>
        <v>2041</v>
      </c>
      <c r="Y24" s="174">
        <v>0</v>
      </c>
      <c r="Z24" s="155">
        <f>NPV($D$5,Y$11:Y24)+Z$10</f>
        <v>212.32362903956437</v>
      </c>
    </row>
    <row r="25" spans="1:26" x14ac:dyDescent="0.2">
      <c r="A25" s="44"/>
      <c r="B25" s="42">
        <f t="shared" si="3"/>
        <v>2042</v>
      </c>
      <c r="C25" s="47">
        <f>'2025 EGD Avoided Costs'!C27*$J$3+'2025 UG Avoided Costs'!C27*$J$4</f>
        <v>0.3900581725100839</v>
      </c>
      <c r="D25" s="103">
        <f>NPV($D$5,C$11:C25)+D$10</f>
        <v>3.2006320255562759</v>
      </c>
      <c r="E25" s="47">
        <f>'2025 EGD Avoided Costs'!E27*$J$3+'2025 UG Avoided Costs'!E27*$J$4</f>
        <v>0.43421344140335971</v>
      </c>
      <c r="F25" s="103">
        <f>NPV($D$5,E$11:E25)+F$10</f>
        <v>3.6083253408981397</v>
      </c>
      <c r="G25" s="158"/>
      <c r="H25" s="42">
        <f t="shared" si="4"/>
        <v>2042</v>
      </c>
      <c r="I25" s="47">
        <f>'Avoided Carbon'!D21</f>
        <v>0</v>
      </c>
      <c r="J25" s="79">
        <f>NPV('2025 EGD Avoided Costs'!$D$5,I$11:I25)+J$10</f>
        <v>0</v>
      </c>
      <c r="L25" s="42">
        <f t="shared" si="5"/>
        <v>2042</v>
      </c>
      <c r="M25" s="47">
        <f>'2025 EGD Avoided Costs'!I27*$J$3+'2025 UG Avoided Costs'!I27*$J$4</f>
        <v>1.4510154402478381</v>
      </c>
      <c r="N25" s="79">
        <f>NPV($D$5,M$11:M25)+N$10</f>
        <v>13.065146696947183</v>
      </c>
      <c r="P25" s="152">
        <f t="shared" si="0"/>
        <v>2042</v>
      </c>
      <c r="Q25" s="153">
        <f>'Avoided Electricity'!P25</f>
        <v>6.3717151788238349E-2</v>
      </c>
      <c r="R25" s="154">
        <f>NPV($D$5,Q$11:Q25)+R$10</f>
        <v>0.601982184027406</v>
      </c>
      <c r="S25" s="149"/>
      <c r="T25" s="42">
        <f t="shared" si="1"/>
        <v>2042</v>
      </c>
      <c r="U25" s="174">
        <f>'Avoided Electricity'!Q25</f>
        <v>480.74812846333151</v>
      </c>
      <c r="V25" s="155">
        <f>NPV($D$5,U$11:U25)+V$10</f>
        <v>3568.3585185545426</v>
      </c>
      <c r="W25" s="173" t="s">
        <v>21</v>
      </c>
      <c r="X25" s="42">
        <f t="shared" si="2"/>
        <v>2042</v>
      </c>
      <c r="Y25" s="174">
        <v>0</v>
      </c>
      <c r="Z25" s="155">
        <f>NPV($D$5,Y$11:Y25)+Z$10</f>
        <v>212.32362903956437</v>
      </c>
    </row>
    <row r="26" spans="1:26" x14ac:dyDescent="0.2">
      <c r="A26" s="44"/>
      <c r="B26" s="42">
        <f t="shared" si="3"/>
        <v>2043</v>
      </c>
      <c r="C26" s="47">
        <f>'2025 EGD Avoided Costs'!C28*$J$3+'2025 UG Avoided Costs'!C28*$J$4</f>
        <v>0.41065891143707689</v>
      </c>
      <c r="D26" s="103">
        <f>NPV($D$5,C$11:C26)+D$10</f>
        <v>3.3603467934340712</v>
      </c>
      <c r="E26" s="47">
        <f>'2025 EGD Avoided Costs'!E28*$J$3+'2025 UG Avoided Costs'!E28*$J$4</f>
        <v>0.45569728570821821</v>
      </c>
      <c r="F26" s="103">
        <f>NPV($D$5,E$11:E26)+F$10</f>
        <v>3.7855565763162016</v>
      </c>
      <c r="G26" s="175"/>
      <c r="H26" s="42">
        <f t="shared" si="4"/>
        <v>2043</v>
      </c>
      <c r="I26" s="47">
        <f>'Avoided Carbon'!D22</f>
        <v>0</v>
      </c>
      <c r="J26" s="79">
        <f>NPV('2025 EGD Avoided Costs'!$D$5,I$11:I26)+J$10</f>
        <v>0</v>
      </c>
      <c r="L26" s="42">
        <f t="shared" si="5"/>
        <v>2043</v>
      </c>
      <c r="M26" s="47">
        <f>'2025 EGD Avoided Costs'!I28*$J$3+'2025 UG Avoided Costs'!I28*$J$4</f>
        <v>1.4800357490527949</v>
      </c>
      <c r="N26" s="79">
        <f>NPV($D$5,M$11:M26)+N$10</f>
        <v>13.640766900301825</v>
      </c>
      <c r="P26" s="152">
        <f t="shared" si="0"/>
        <v>2043</v>
      </c>
      <c r="Q26" s="153">
        <f>'Avoided Electricity'!P26</f>
        <v>7.8118570394645731E-2</v>
      </c>
      <c r="R26" s="154">
        <f>NPV($D$5,Q$11:Q26)+R$10</f>
        <v>0.63236430648973041</v>
      </c>
      <c r="S26" s="149"/>
      <c r="T26" s="42">
        <f t="shared" si="1"/>
        <v>2043</v>
      </c>
      <c r="U26" s="174">
        <v>0</v>
      </c>
      <c r="V26" s="155">
        <f>NPV($D$5,U$11:U26)+V$10</f>
        <v>3568.3585185545426</v>
      </c>
      <c r="W26" s="173" t="s">
        <v>22</v>
      </c>
      <c r="X26" s="42">
        <f t="shared" si="2"/>
        <v>2043</v>
      </c>
      <c r="Y26" s="174">
        <f>'Avoided Electricity'!Q26</f>
        <v>513.80016400754425</v>
      </c>
      <c r="Z26" s="155">
        <f>NPV($D$5,Y$11:Y26)+Z$10</f>
        <v>412.1524203906859</v>
      </c>
    </row>
    <row r="27" spans="1:26" x14ac:dyDescent="0.2">
      <c r="A27" s="44"/>
      <c r="B27" s="42">
        <f t="shared" si="3"/>
        <v>2044</v>
      </c>
      <c r="C27" s="47">
        <f>'2025 EGD Avoided Costs'!C29*$J$3+'2025 UG Avoided Costs'!C29*$J$4</f>
        <v>0.42485102445938216</v>
      </c>
      <c r="D27" s="103">
        <f>NPV($D$5,C$11:C27)+D$10</f>
        <v>3.516110754163039</v>
      </c>
      <c r="E27" s="47">
        <f>'2025 EGD Avoided Costs'!E29*$J$3+'2025 UG Avoided Costs'!E29*$J$4</f>
        <v>0.47079016621594638</v>
      </c>
      <c r="F27" s="103">
        <f>NPV($D$5,E$11:E27)+F$10</f>
        <v>3.9581632942954257</v>
      </c>
      <c r="G27" s="175"/>
      <c r="H27" s="42">
        <f t="shared" si="4"/>
        <v>2044</v>
      </c>
      <c r="I27" s="47">
        <f>'Avoided Carbon'!D23</f>
        <v>0</v>
      </c>
      <c r="J27" s="79">
        <f>NPV('2025 EGD Avoided Costs'!$D$5,I$11:I27)+J$10</f>
        <v>0</v>
      </c>
      <c r="L27" s="42">
        <f t="shared" si="5"/>
        <v>2044</v>
      </c>
      <c r="M27" s="47">
        <f>'2025 EGD Avoided Costs'!I29*$J$3+'2025 UG Avoided Costs'!I29*$J$4</f>
        <v>1.5096364640338509</v>
      </c>
      <c r="N27" s="79">
        <f>NPV($D$5,M$11:M27)+N$10</f>
        <v>14.194247865065906</v>
      </c>
      <c r="P27" s="152">
        <f t="shared" si="0"/>
        <v>2044</v>
      </c>
      <c r="Q27" s="153">
        <f>'Avoided Electricity'!P27</f>
        <v>7.2181782328537392E-2</v>
      </c>
      <c r="R27" s="154">
        <f>NPV($D$5,Q$11:Q27)+R$10</f>
        <v>0.65882845429842696</v>
      </c>
      <c r="S27" s="149"/>
      <c r="T27" s="42">
        <f t="shared" si="1"/>
        <v>2044</v>
      </c>
      <c r="U27" s="174">
        <v>0</v>
      </c>
      <c r="V27" s="155">
        <f>NPV($D$5,U$11:U27)+V$10</f>
        <v>3568.3585185545426</v>
      </c>
      <c r="W27" s="173" t="s">
        <v>22</v>
      </c>
      <c r="X27" s="42">
        <f t="shared" si="2"/>
        <v>2044</v>
      </c>
      <c r="Y27" s="174">
        <f>'Avoided Electricity'!Q27</f>
        <v>545.57275562373627</v>
      </c>
      <c r="Z27" s="155">
        <f>NPV($D$5,Y$11:Y27)+Z$10</f>
        <v>612.17682515682066</v>
      </c>
    </row>
    <row r="28" spans="1:26" x14ac:dyDescent="0.2">
      <c r="A28" s="44"/>
      <c r="B28" s="42">
        <f t="shared" si="3"/>
        <v>2045</v>
      </c>
      <c r="C28" s="47">
        <f>'2025 EGD Avoided Costs'!C30*$J$3+'2025 UG Avoided Costs'!C30*$J$4</f>
        <v>0.44993652229404285</v>
      </c>
      <c r="D28" s="103">
        <f>NPV($D$5,C$11:C28)+D$10</f>
        <v>3.6716170756053543</v>
      </c>
      <c r="E28" s="47">
        <f>'2025 EGD Avoided Costs'!E30*$J$3+'2025 UG Avoided Costs'!E30*$J$4</f>
        <v>0.49679444688573826</v>
      </c>
      <c r="F28" s="103">
        <f>NPV($D$5,E$11:E28)+F$10</f>
        <v>4.1298645746322178</v>
      </c>
      <c r="G28" s="175"/>
      <c r="H28" s="42">
        <f t="shared" si="4"/>
        <v>2045</v>
      </c>
      <c r="I28" s="47">
        <f>'Avoided Carbon'!D24</f>
        <v>0</v>
      </c>
      <c r="J28" s="79">
        <f>NPV('2025 EGD Avoided Costs'!$D$5,I$11:I28)+J$10</f>
        <v>0</v>
      </c>
      <c r="L28" s="42">
        <f t="shared" si="5"/>
        <v>2045</v>
      </c>
      <c r="M28" s="47">
        <f>'2025 EGD Avoided Costs'!I30*$J$3+'2025 UG Avoided Costs'!I30*$J$4</f>
        <v>1.5398291933145281</v>
      </c>
      <c r="N28" s="79">
        <f>NPV($D$5,M$11:M28)+N$10</f>
        <v>14.726441100415983</v>
      </c>
      <c r="P28" s="152">
        <f t="shared" si="0"/>
        <v>2045</v>
      </c>
      <c r="Q28" s="153">
        <f>'Avoided Electricity'!P28</f>
        <v>6.5932240165591807E-2</v>
      </c>
      <c r="R28" s="154">
        <f>NPV($D$5,Q$11:Q28)+R$10</f>
        <v>0.68161584679621112</v>
      </c>
      <c r="S28" s="149"/>
      <c r="T28" s="42">
        <f t="shared" si="1"/>
        <v>2045</v>
      </c>
      <c r="U28" s="174">
        <f>'Avoided Electricity'!Q28</f>
        <v>578.67144192199601</v>
      </c>
      <c r="V28" s="155">
        <f>NPV($D$5,U$11:U28)+V$10</f>
        <v>3768.3579913650678</v>
      </c>
      <c r="W28" s="173" t="s">
        <v>21</v>
      </c>
      <c r="X28" s="42">
        <f t="shared" si="2"/>
        <v>2045</v>
      </c>
      <c r="Y28" s="174">
        <v>0</v>
      </c>
      <c r="Z28" s="155">
        <f>NPV($D$5,Y$11:Y28)+Z$10</f>
        <v>612.17682515682066</v>
      </c>
    </row>
    <row r="29" spans="1:26" x14ac:dyDescent="0.2">
      <c r="A29" s="44"/>
      <c r="B29" s="42">
        <f t="shared" si="3"/>
        <v>2046</v>
      </c>
      <c r="C29" s="47">
        <f>'2025 EGD Avoided Costs'!C31*$J$3+'2025 UG Avoided Costs'!C31*$J$4</f>
        <v>0.46151198543765393</v>
      </c>
      <c r="D29" s="103">
        <f>NPV($D$5,C$11:C29)+D$10</f>
        <v>3.8219819077996746</v>
      </c>
      <c r="E29" s="47">
        <f>'2025 EGD Avoided Costs'!E31*$J$3+'2025 UG Avoided Costs'!E31*$J$4</f>
        <v>0.50930706852118324</v>
      </c>
      <c r="F29" s="103">
        <f>NPV($D$5,E$11:E29)+F$10</f>
        <v>4.2958014826866124</v>
      </c>
      <c r="G29" s="175"/>
      <c r="H29" s="42">
        <f t="shared" si="4"/>
        <v>2046</v>
      </c>
      <c r="I29" s="47">
        <f>'Avoided Carbon'!D25</f>
        <v>0</v>
      </c>
      <c r="J29" s="79">
        <f>NPV('2025 EGD Avoided Costs'!$D$5,I$11:I29)+J$10</f>
        <v>0</v>
      </c>
      <c r="L29" s="42">
        <f t="shared" si="5"/>
        <v>2046</v>
      </c>
      <c r="M29" s="47">
        <f>'2025 EGD Avoided Costs'!I31*$J$3+'2025 UG Avoided Costs'!I31*$J$4</f>
        <v>1.5706257771808185</v>
      </c>
      <c r="N29" s="79">
        <f>NPV($D$5,M$11:M29)+N$10</f>
        <v>15.238165365175673</v>
      </c>
      <c r="P29" s="152">
        <f t="shared" si="0"/>
        <v>2046</v>
      </c>
      <c r="Q29" s="153">
        <f>'Avoided Electricity'!P29</f>
        <v>5.4625008689761709E-2</v>
      </c>
      <c r="R29" s="154">
        <f>NPV($D$5,Q$11:Q29)+R$10</f>
        <v>0.69941317497927058</v>
      </c>
      <c r="S29" s="149"/>
      <c r="T29" s="42">
        <f t="shared" si="1"/>
        <v>2046</v>
      </c>
      <c r="U29" s="174">
        <f>'Avoided Electricity'!Q29</f>
        <v>612.68502784797806</v>
      </c>
      <c r="V29" s="155">
        <f>NPV($D$5,U$11:U29)+V$10</f>
        <v>3967.9763854853636</v>
      </c>
      <c r="W29" s="173" t="s">
        <v>21</v>
      </c>
      <c r="X29" s="42">
        <f t="shared" si="2"/>
        <v>2046</v>
      </c>
      <c r="Y29" s="174">
        <v>0</v>
      </c>
      <c r="Z29" s="155">
        <f>NPV($D$5,Y$11:Y29)+Z$10</f>
        <v>612.17682515682066</v>
      </c>
    </row>
    <row r="30" spans="1:26" x14ac:dyDescent="0.2">
      <c r="A30" s="44"/>
      <c r="B30" s="42">
        <f t="shared" si="3"/>
        <v>2047</v>
      </c>
      <c r="C30" s="47">
        <f>'2025 EGD Avoided Costs'!C32*$J$3+'2025 UG Avoided Costs'!C32*$J$4</f>
        <v>0.47749686800673929</v>
      </c>
      <c r="D30" s="103">
        <f>NPV($D$5,C$11:C30)+D$10</f>
        <v>3.9686380666920265</v>
      </c>
      <c r="E30" s="47">
        <f>'2025 EGD Avoided Costs'!E32*$J$3+'2025 UG Avoided Costs'!E32*$J$4</f>
        <v>0.5262478527519393</v>
      </c>
      <c r="F30" s="103">
        <f>NPV($D$5,E$11:E30)+F$10</f>
        <v>4.4574307914444198</v>
      </c>
      <c r="G30" s="175"/>
      <c r="H30" s="42">
        <f t="shared" si="4"/>
        <v>2047</v>
      </c>
      <c r="I30" s="47">
        <f>'Avoided Carbon'!D26</f>
        <v>0</v>
      </c>
      <c r="J30" s="79">
        <f>NPV('2025 EGD Avoided Costs'!$D$5,I$11:I30)+J$10</f>
        <v>0</v>
      </c>
      <c r="L30" s="42">
        <f t="shared" si="5"/>
        <v>2047</v>
      </c>
      <c r="M30" s="47">
        <f>'2025 EGD Avoided Costs'!I32*$J$3+'2025 UG Avoided Costs'!I32*$J$4</f>
        <v>1.6020382927244348</v>
      </c>
      <c r="N30" s="79">
        <f>NPV($D$5,M$11:M30)+N$10</f>
        <v>15.730207927444606</v>
      </c>
      <c r="P30" s="152">
        <f t="shared" si="0"/>
        <v>2047</v>
      </c>
      <c r="Q30" s="153">
        <f>'Avoided Electricity'!P30</f>
        <v>4.6878697935171125E-2</v>
      </c>
      <c r="R30" s="154">
        <f>NPV($D$5,Q$11:Q30)+R$10</f>
        <v>0.71381127941448119</v>
      </c>
      <c r="S30" s="149"/>
      <c r="T30" s="42">
        <f t="shared" si="1"/>
        <v>2047</v>
      </c>
      <c r="U30" s="174">
        <f>'Avoided Electricity'!Q30</f>
        <v>645.28581183352082</v>
      </c>
      <c r="V30" s="155">
        <f>NPV($D$5,U$11:U30)+V$10</f>
        <v>4166.1664572784657</v>
      </c>
      <c r="W30" s="173" t="s">
        <v>21</v>
      </c>
      <c r="X30" s="42">
        <f t="shared" si="2"/>
        <v>2047</v>
      </c>
      <c r="Y30" s="174">
        <v>0</v>
      </c>
      <c r="Z30" s="155">
        <f>NPV($D$5,Y$11:Y30)+Z$10</f>
        <v>612.17682515682066</v>
      </c>
    </row>
    <row r="31" spans="1:26" x14ac:dyDescent="0.2">
      <c r="A31" s="44"/>
      <c r="B31" s="42">
        <f t="shared" si="3"/>
        <v>2048</v>
      </c>
      <c r="C31" s="47">
        <f>'2025 EGD Avoided Costs'!C33*$J$3+'2025 UG Avoided Costs'!C33*$J$4</f>
        <v>0.49393654108441076</v>
      </c>
      <c r="D31" s="103">
        <f>NPV($D$5,C$11:C31)+D$10</f>
        <v>4.1116484016603785</v>
      </c>
      <c r="E31" s="47">
        <f>'2025 EGD Avoided Costs'!E33*$J$3+'2025 UG Avoided Costs'!E33*$J$4</f>
        <v>0.54366254552451476</v>
      </c>
      <c r="F31" s="103">
        <f>NPV($D$5,E$11:E31)+F$10</f>
        <v>4.6148383858987883</v>
      </c>
      <c r="G31" s="175"/>
      <c r="H31" s="42">
        <f t="shared" si="4"/>
        <v>2048</v>
      </c>
      <c r="I31" s="47">
        <f>'Avoided Carbon'!D27</f>
        <v>0</v>
      </c>
      <c r="J31" s="79">
        <f>NPV('2025 EGD Avoided Costs'!$D$5,I$11:I31)+J$10</f>
        <v>0</v>
      </c>
      <c r="L31" s="42">
        <f t="shared" si="5"/>
        <v>2048</v>
      </c>
      <c r="M31" s="47">
        <f>'2025 EGD Avoided Costs'!I33*$J$3+'2025 UG Avoided Costs'!I33*$J$4</f>
        <v>1.6340790585789238</v>
      </c>
      <c r="N31" s="79">
        <f>NPV($D$5,M$11:M31)+N$10</f>
        <v>16.203325775780119</v>
      </c>
      <c r="P31" s="152">
        <f t="shared" si="0"/>
        <v>2048</v>
      </c>
      <c r="Q31" s="153">
        <f>'Avoided Electricity'!P31</f>
        <v>4.211630988159739E-2</v>
      </c>
      <c r="R31" s="154">
        <f>NPV($D$5,Q$11:Q31)+R$10</f>
        <v>0.72600529035073391</v>
      </c>
      <c r="S31" s="149"/>
      <c r="T31" s="42">
        <f t="shared" si="1"/>
        <v>2048</v>
      </c>
      <c r="U31" s="174">
        <f>'Avoided Electricity'!Q31</f>
        <v>676.61264757269328</v>
      </c>
      <c r="V31" s="155">
        <f>NPV($D$5,U$11:U31)+V$10</f>
        <v>4362.0673338581928</v>
      </c>
      <c r="W31" s="173" t="s">
        <v>21</v>
      </c>
      <c r="X31" s="42">
        <f t="shared" si="2"/>
        <v>2048</v>
      </c>
      <c r="Y31" s="174">
        <v>0</v>
      </c>
      <c r="Z31" s="155">
        <f>NPV($D$5,Y$11:Y31)+Z$10</f>
        <v>612.17682515682066</v>
      </c>
    </row>
    <row r="32" spans="1:26" x14ac:dyDescent="0.2">
      <c r="A32" s="44"/>
      <c r="B32" s="42">
        <f t="shared" si="3"/>
        <v>2049</v>
      </c>
      <c r="C32" s="47">
        <f>'2025 EGD Avoided Costs'!C34*$J$3+'2025 UG Avoided Costs'!C34*$J$4</f>
        <v>0.5108428023379864</v>
      </c>
      <c r="D32" s="103">
        <f>NPV($D$5,C$11:C32)+D$10</f>
        <v>4.2510764137182759</v>
      </c>
      <c r="E32" s="47">
        <f>'2025 EGD Avoided Costs'!E34*$J$3+'2025 UG Avoided Costs'!E34*$J$4</f>
        <v>0.56156332686689248</v>
      </c>
      <c r="F32" s="103">
        <f>NPV($D$5,E$11:E32)+F$10</f>
        <v>4.7681099166932377</v>
      </c>
      <c r="G32" s="175"/>
      <c r="H32" s="42">
        <f t="shared" si="4"/>
        <v>2049</v>
      </c>
      <c r="I32" s="47">
        <f>'Avoided Carbon'!D28</f>
        <v>0</v>
      </c>
      <c r="J32" s="79">
        <f>NPV('2025 EGD Avoided Costs'!$D$5,I$11:I32)+J$10</f>
        <v>0</v>
      </c>
      <c r="L32" s="42">
        <f t="shared" si="5"/>
        <v>2049</v>
      </c>
      <c r="M32" s="47">
        <f>'2025 EGD Avoided Costs'!I34*$J$3+'2025 UG Avoided Costs'!I34*$J$4</f>
        <v>1.6667606397505024</v>
      </c>
      <c r="N32" s="79">
        <f>NPV($D$5,M$11:M32)+N$10</f>
        <v>16.658246783795036</v>
      </c>
      <c r="P32" s="152">
        <f t="shared" si="0"/>
        <v>2049</v>
      </c>
      <c r="Q32" s="153">
        <f>'Avoided Electricity'!P32</f>
        <v>3.7499729648813554E-2</v>
      </c>
      <c r="R32" s="154">
        <f>NPV($D$5,Q$11:Q32)+R$10</f>
        <v>0.73624036214525301</v>
      </c>
      <c r="S32" s="149"/>
      <c r="T32" s="42">
        <f t="shared" si="1"/>
        <v>2049</v>
      </c>
      <c r="U32" s="174">
        <f>'Avoided Electricity'!Q32</f>
        <v>706.78561719083905</v>
      </c>
      <c r="V32" s="155">
        <f>NPV($D$5,U$11:U32)+V$10</f>
        <v>4554.9754322105937</v>
      </c>
      <c r="W32" s="173" t="s">
        <v>21</v>
      </c>
      <c r="X32" s="42">
        <f t="shared" si="2"/>
        <v>2049</v>
      </c>
      <c r="Y32" s="174">
        <v>0</v>
      </c>
      <c r="Z32" s="155">
        <f>NPV($D$5,Y$11:Y32)+Z$10</f>
        <v>612.17682515682066</v>
      </c>
    </row>
    <row r="33" spans="1:26" x14ac:dyDescent="0.2">
      <c r="A33" s="44"/>
      <c r="B33" s="42">
        <f t="shared" si="3"/>
        <v>2050</v>
      </c>
      <c r="C33" s="47">
        <f>'2025 EGD Avoided Costs'!C35*$J$3+'2025 UG Avoided Costs'!C35*$J$4</f>
        <v>0.52822773942527368</v>
      </c>
      <c r="D33" s="103">
        <f>NPV($D$5,C$11:C33)+D$10</f>
        <v>4.3869861124165697</v>
      </c>
      <c r="E33" s="47">
        <f>'2025 EGD Avoided Costs'!E35*$J$3+'2025 UG Avoided Costs'!E35*$J$4</f>
        <v>0.5799626744447578</v>
      </c>
      <c r="F33" s="103">
        <f>NPV($D$5,E$11:E33)+F$10</f>
        <v>4.9173306910997558</v>
      </c>
      <c r="G33" s="175"/>
      <c r="H33" s="42">
        <f t="shared" si="4"/>
        <v>2050</v>
      </c>
      <c r="I33" s="47">
        <f>'Avoided Carbon'!D29</f>
        <v>0</v>
      </c>
      <c r="J33" s="79">
        <f>NPV('2025 EGD Avoided Costs'!$D$5,I$11:I33)+J$10</f>
        <v>0</v>
      </c>
      <c r="L33" s="42">
        <f t="shared" si="5"/>
        <v>2050</v>
      </c>
      <c r="M33" s="47">
        <f>'2025 EGD Avoided Costs'!I35*$J$3+'2025 UG Avoided Costs'!I35*$J$4</f>
        <v>1.7000958525455121</v>
      </c>
      <c r="N33" s="79">
        <f>NPV($D$5,M$11:M33)+N$10</f>
        <v>17.095670829963222</v>
      </c>
      <c r="P33" s="152">
        <f t="shared" si="0"/>
        <v>2050</v>
      </c>
      <c r="Q33" s="153">
        <f>'Avoided Electricity'!P33</f>
        <v>3.5724970304131916E-2</v>
      </c>
      <c r="R33" s="154">
        <f>NPV($D$5,Q$11:Q33)+R$10</f>
        <v>0.74543217391061556</v>
      </c>
      <c r="S33" s="149"/>
      <c r="T33" s="42">
        <f t="shared" si="1"/>
        <v>2050</v>
      </c>
      <c r="U33" s="174">
        <f>'Avoided Electricity'!Q33</f>
        <v>735.90893268615719</v>
      </c>
      <c r="V33" s="155">
        <f>NPV($D$5,U$11:U33)+V$10</f>
        <v>4744.3202050155578</v>
      </c>
      <c r="W33" s="173" t="s">
        <v>21</v>
      </c>
      <c r="X33" s="42">
        <f t="shared" si="2"/>
        <v>2050</v>
      </c>
      <c r="Y33" s="174">
        <v>0</v>
      </c>
      <c r="Z33" s="155">
        <f>NPV($D$5,Y$11:Y33)+Z$10</f>
        <v>612.17682515682066</v>
      </c>
    </row>
    <row r="34" spans="1:26" x14ac:dyDescent="0.2">
      <c r="A34" s="44"/>
      <c r="B34" s="42">
        <f t="shared" si="3"/>
        <v>2051</v>
      </c>
      <c r="C34" s="47">
        <f>'2025 EGD Avoided Costs'!C36*$J$3+'2025 UG Avoided Costs'!C36*$J$4</f>
        <v>0.54610373687511482</v>
      </c>
      <c r="D34" s="103">
        <f>NPV($D$5,C$11:C34)+D$10</f>
        <v>4.5194418827887519</v>
      </c>
      <c r="E34" s="47">
        <f>'2025 EGD Avoided Costs'!E36*$J$3+'2025 UG Avoided Costs'!E36*$J$4</f>
        <v>0.59887337059498869</v>
      </c>
      <c r="F34" s="103">
        <f>NPV($D$5,E$11:E34)+F$10</f>
        <v>5.0625855727298461</v>
      </c>
      <c r="G34" s="158"/>
      <c r="H34" s="42">
        <f t="shared" si="4"/>
        <v>2051</v>
      </c>
      <c r="I34" s="47">
        <f>'Avoided Carbon'!D30</f>
        <v>0</v>
      </c>
      <c r="J34" s="79">
        <f>NPV('2025 EGD Avoided Costs'!$D$5,I$11:I34)+J$10</f>
        <v>0</v>
      </c>
      <c r="L34" s="42">
        <f t="shared" si="5"/>
        <v>2051</v>
      </c>
      <c r="M34" s="47">
        <f>'2025 EGD Avoided Costs'!I36*$J$3+'2025 UG Avoided Costs'!I36*$J$4</f>
        <v>1.7340977695964226</v>
      </c>
      <c r="N34" s="79">
        <f>NPV($D$5,M$11:M34)+N$10</f>
        <v>17.516270874355708</v>
      </c>
      <c r="P34" s="152">
        <f t="shared" si="0"/>
        <v>2051</v>
      </c>
      <c r="Q34" s="153">
        <f>'Avoided Electricity'!P34</f>
        <v>3.6439469710214549E-2</v>
      </c>
      <c r="R34" s="154">
        <f>NPV($D$5,Q$11:Q34)+R$10</f>
        <v>0.75427045445423324</v>
      </c>
      <c r="S34" s="149"/>
      <c r="T34" s="42">
        <f t="shared" si="1"/>
        <v>2051</v>
      </c>
      <c r="U34" s="174">
        <f>'Avoided Electricity'!Q34</f>
        <v>750.62711133988023</v>
      </c>
      <c r="V34" s="155">
        <f>NPV($D$5,U$11:U34)+V$10</f>
        <v>4926.3824865587922</v>
      </c>
      <c r="W34" s="173" t="s">
        <v>21</v>
      </c>
      <c r="X34" s="42">
        <f t="shared" si="2"/>
        <v>2051</v>
      </c>
      <c r="Y34" s="174">
        <v>0</v>
      </c>
      <c r="Z34" s="155">
        <f>NPV($D$5,Y$11:Y34)+Z$10</f>
        <v>612.17682515682066</v>
      </c>
    </row>
    <row r="35" spans="1:26" x14ac:dyDescent="0.2">
      <c r="A35" s="44"/>
      <c r="B35" s="42">
        <f t="shared" si="3"/>
        <v>2052</v>
      </c>
      <c r="C35" s="47">
        <f>'2025 EGD Avoided Costs'!C37*$J$3+'2025 UG Avoided Costs'!C37*$J$4</f>
        <v>0.56448348312718188</v>
      </c>
      <c r="D35" s="103">
        <f>NPV($D$5,C$11:C35)+D$10</f>
        <v>4.648508361778994</v>
      </c>
      <c r="E35" s="47">
        <f>'2025 EGD Avoided Costs'!E37*$J$3+'2025 UG Avoided Costs'!E37*$J$4</f>
        <v>0.61830850952145322</v>
      </c>
      <c r="F35" s="103">
        <f>NPV($D$5,E$11:E35)+F$10</f>
        <v>5.2039588894680771</v>
      </c>
      <c r="G35" s="158"/>
      <c r="H35" s="42">
        <f t="shared" si="4"/>
        <v>2052</v>
      </c>
      <c r="I35" s="47">
        <f>'Avoided Carbon'!D31</f>
        <v>0</v>
      </c>
      <c r="J35" s="79">
        <f>NPV('2025 EGD Avoided Costs'!$D$5,I$11:I35)+J$10</f>
        <v>0</v>
      </c>
      <c r="L35" s="42">
        <f t="shared" si="5"/>
        <v>2052</v>
      </c>
      <c r="M35" s="47">
        <f>'2025 EGD Avoided Costs'!I37*$J$3+'2025 UG Avoided Costs'!I37*$J$4</f>
        <v>1.768779724988351</v>
      </c>
      <c r="N35" s="79">
        <f>NPV($D$5,M$11:M35)+N$10</f>
        <v>17.920693993963869</v>
      </c>
      <c r="P35" s="152">
        <f t="shared" si="0"/>
        <v>2052</v>
      </c>
      <c r="Q35" s="153">
        <f>'Avoided Electricity'!P35</f>
        <v>3.7168259104418844E-2</v>
      </c>
      <c r="R35" s="154">
        <f>NPV($D$5,Q$11:Q35)+R$10</f>
        <v>0.76276880113078882</v>
      </c>
      <c r="S35" s="149"/>
      <c r="T35" s="42">
        <f t="shared" si="1"/>
        <v>2052</v>
      </c>
      <c r="U35" s="174">
        <f>'Avoided Electricity'!Q35</f>
        <v>765.63965356667802</v>
      </c>
      <c r="V35" s="155">
        <f>NPV($D$5,U$11:U35)+V$10</f>
        <v>5101.4423726580571</v>
      </c>
      <c r="W35" s="173" t="s">
        <v>21</v>
      </c>
      <c r="X35" s="42">
        <f t="shared" si="2"/>
        <v>2052</v>
      </c>
      <c r="Y35" s="174">
        <v>0</v>
      </c>
      <c r="Z35" s="155">
        <f>NPV($D$5,Y$11:Y35)+Z$10</f>
        <v>612.17682515682066</v>
      </c>
    </row>
    <row r="36" spans="1:26" x14ac:dyDescent="0.2">
      <c r="A36" s="44"/>
      <c r="B36" s="42">
        <f t="shared" si="3"/>
        <v>2053</v>
      </c>
      <c r="C36" s="47">
        <f>'2025 EGD Avoided Costs'!C38*$J$3+'2025 UG Avoided Costs'!C38*$J$4</f>
        <v>0.58337997773457939</v>
      </c>
      <c r="D36" s="103">
        <f>NPV($D$5,C$11:C36)+D$10</f>
        <v>4.7742503236202687</v>
      </c>
      <c r="E36" s="47">
        <f>'2025 EGD Avoided Costs'!E38*$J$3+'2025 UG Avoided Costs'!E38*$J$4</f>
        <v>0.63828150465673605</v>
      </c>
      <c r="F36" s="103">
        <f>NPV($D$5,E$11:E36)+F$10</f>
        <v>5.3415343491439549</v>
      </c>
      <c r="G36" s="45"/>
      <c r="H36" s="42">
        <f t="shared" si="4"/>
        <v>2053</v>
      </c>
      <c r="I36" s="47">
        <f>'Avoided Carbon'!D32</f>
        <v>0</v>
      </c>
      <c r="J36" s="79">
        <f>NPV('2025 EGD Avoided Costs'!$D$5,I$11:I36)+J$10</f>
        <v>0</v>
      </c>
      <c r="L36" s="42">
        <f t="shared" si="5"/>
        <v>2053</v>
      </c>
      <c r="M36" s="47">
        <f>'2025 EGD Avoided Costs'!I38*$J$3+'2025 UG Avoided Costs'!I38*$J$4</f>
        <v>1.8041553194881181</v>
      </c>
      <c r="N36" s="79">
        <f>NPV($D$5,M$11:M36)+N$10</f>
        <v>18.309562378202486</v>
      </c>
      <c r="P36" s="152">
        <f t="shared" si="0"/>
        <v>2053</v>
      </c>
      <c r="Q36" s="153">
        <f>'Avoided Electricity'!P36</f>
        <v>3.7911624286507219E-2</v>
      </c>
      <c r="R36" s="154">
        <f>NPV($D$5,Q$11:Q36)+R$10</f>
        <v>0.77094028831978445</v>
      </c>
      <c r="S36" s="149"/>
      <c r="T36" s="42">
        <f t="shared" si="1"/>
        <v>2053</v>
      </c>
      <c r="U36" s="174">
        <f>'Avoided Electricity'!Q36</f>
        <v>780.95244663801145</v>
      </c>
      <c r="V36" s="155">
        <f>NPV($D$5,U$11:U36)+V$10</f>
        <v>5269.7691862150423</v>
      </c>
      <c r="W36" s="173" t="s">
        <v>21</v>
      </c>
      <c r="X36" s="42">
        <f t="shared" si="2"/>
        <v>2053</v>
      </c>
      <c r="Y36" s="174">
        <v>0</v>
      </c>
      <c r="Z36" s="155">
        <f>NPV($D$5,Y$11:Y36)+Z$10</f>
        <v>612.17682515682066</v>
      </c>
    </row>
    <row r="37" spans="1:26" x14ac:dyDescent="0.2">
      <c r="A37" s="44"/>
      <c r="B37" s="43">
        <f t="shared" si="3"/>
        <v>2054</v>
      </c>
      <c r="C37" s="48">
        <f>'2025 EGD Avoided Costs'!C39*$J$3+'2025 UG Avoided Costs'!C39*$J$4</f>
        <v>0.60280653873302403</v>
      </c>
      <c r="D37" s="104">
        <f>NPV($D$5,C$11:C37)+D$10</f>
        <v>4.8967325736568883</v>
      </c>
      <c r="E37" s="48">
        <f>'2025 EGD Avoided Costs'!E39*$J$3+'2025 UG Avoided Costs'!E39*$J$4</f>
        <v>0.65880609619362396</v>
      </c>
      <c r="F37" s="104">
        <f>NPV($D$5,E$11:E37)+F$10</f>
        <v>5.4753949624830787</v>
      </c>
      <c r="G37" s="45"/>
      <c r="H37" s="43">
        <f t="shared" si="4"/>
        <v>2054</v>
      </c>
      <c r="I37" s="48">
        <f>'Avoided Carbon'!D33</f>
        <v>0</v>
      </c>
      <c r="J37" s="104">
        <f>NPV('2025 EGD Avoided Costs'!$D$5,I$11:I37)+J$10</f>
        <v>0</v>
      </c>
      <c r="L37" s="43">
        <f t="shared" si="5"/>
        <v>2054</v>
      </c>
      <c r="M37" s="48">
        <f>'2025 EGD Avoided Costs'!I39*$J$3+'2025 UG Avoided Costs'!I39*$J$4</f>
        <v>1.8402384258778806</v>
      </c>
      <c r="N37" s="104">
        <f>NPV($D$5,M$11:M37)+N$10</f>
        <v>18.683474286124234</v>
      </c>
      <c r="P37" s="164">
        <f t="shared" si="0"/>
        <v>2054</v>
      </c>
      <c r="Q37" s="165">
        <f>'Avoided Electricity'!P37</f>
        <v>3.8669856772237367E-2</v>
      </c>
      <c r="R37" s="166">
        <f>NPV($D$5,Q$11:Q37)+R$10</f>
        <v>0.77879748753997269</v>
      </c>
      <c r="S37" s="149"/>
      <c r="T37" s="43">
        <f t="shared" si="1"/>
        <v>2054</v>
      </c>
      <c r="U37" s="176">
        <f>'Avoided Electricity'!Q37</f>
        <v>796.57149557077173</v>
      </c>
      <c r="V37" s="163">
        <f>NPV($D$5,U$11:U37)+V$10</f>
        <v>5431.6218915582958</v>
      </c>
      <c r="W37" s="177" t="s">
        <v>21</v>
      </c>
      <c r="X37" s="43">
        <f t="shared" si="2"/>
        <v>2054</v>
      </c>
      <c r="Y37" s="176">
        <v>0</v>
      </c>
      <c r="Z37" s="163">
        <f>NPV($D$5,Y$11:Y37)+Z$10</f>
        <v>612.17682515682066</v>
      </c>
    </row>
    <row r="38" spans="1:26" x14ac:dyDescent="0.2">
      <c r="A38" s="44"/>
      <c r="B38" s="250">
        <f t="shared" si="3"/>
        <v>2055</v>
      </c>
      <c r="C38" s="251">
        <f>C37*(1+'General Inputs'!$C$5)</f>
        <v>0.61486266950768453</v>
      </c>
      <c r="D38" s="290">
        <f>NPV($D$5,C$11:C38)+D$10</f>
        <v>5.0145039679228685</v>
      </c>
      <c r="E38" s="251">
        <f>E37*(1+'General Inputs'!$C$5)</f>
        <v>0.67198221811749648</v>
      </c>
      <c r="F38" s="290">
        <f>NPV($D$5,E$11:E38)+F$10</f>
        <v>5.6041070906937742</v>
      </c>
      <c r="G38" s="45"/>
      <c r="H38" s="250">
        <f t="shared" si="4"/>
        <v>2055</v>
      </c>
      <c r="I38" s="251">
        <f>I37</f>
        <v>0</v>
      </c>
      <c r="J38" s="290">
        <f>NPV('2025 EGD Avoided Costs'!$D$5,I$11:I38)+J$10</f>
        <v>0</v>
      </c>
      <c r="L38" s="250">
        <f t="shared" si="5"/>
        <v>2055</v>
      </c>
      <c r="M38" s="251">
        <v>1.8770431943954382</v>
      </c>
      <c r="N38" s="290">
        <f>NPV($D$5,M$11:M38)+N$10</f>
        <v>19.043004966818224</v>
      </c>
      <c r="P38" s="250">
        <f t="shared" si="0"/>
        <v>2055</v>
      </c>
      <c r="Q38" s="251">
        <f>'Avoided Electricity'!P38</f>
        <v>3.9443253907682108E-2</v>
      </c>
      <c r="R38" s="287">
        <f>NPV($D$5,Q$11:Q38)+R$10</f>
        <v>0.78635248679015357</v>
      </c>
      <c r="S38" s="149"/>
      <c r="T38" s="250">
        <f t="shared" si="1"/>
        <v>2055</v>
      </c>
      <c r="U38" s="288">
        <f>'Avoided Electricity'!Q38</f>
        <v>812.50292548218692</v>
      </c>
      <c r="V38" s="289">
        <f>NPV($D$5,U$11:U38)+V$10</f>
        <v>5587.2494928498872</v>
      </c>
      <c r="W38" s="291" t="s">
        <v>21</v>
      </c>
      <c r="X38" s="250">
        <f t="shared" si="2"/>
        <v>2055</v>
      </c>
      <c r="Y38" s="288">
        <f>Y37*(1+'General Inputs'!$C$5)</f>
        <v>0</v>
      </c>
      <c r="Z38" s="289">
        <f>NPV($D$5,Y$11:Y38)+Z$10</f>
        <v>612.17682515682066</v>
      </c>
    </row>
    <row r="39" spans="1:26" x14ac:dyDescent="0.2">
      <c r="A39" s="44"/>
      <c r="B39" s="42">
        <f t="shared" si="3"/>
        <v>2056</v>
      </c>
      <c r="C39" s="47">
        <f>C38*(1+'General Inputs'!$C$5)</f>
        <v>0.62715992289783828</v>
      </c>
      <c r="D39" s="103">
        <f>NPV($D$5,C$11:C39)+D$10</f>
        <v>5.1277456931786185</v>
      </c>
      <c r="E39" s="47">
        <f>E38*(1+'General Inputs'!$C$5)</f>
        <v>0.68542186247984638</v>
      </c>
      <c r="F39" s="103">
        <f>NPV($D$5,E$11:E39)+F$10</f>
        <v>5.7278687524348282</v>
      </c>
      <c r="G39" s="45"/>
      <c r="H39" s="42">
        <f t="shared" si="4"/>
        <v>2056</v>
      </c>
      <c r="I39" s="47">
        <f t="shared" ref="I39:I44" si="6">I38</f>
        <v>0</v>
      </c>
      <c r="J39" s="103">
        <f>NPV('2025 EGD Avoided Costs'!$D$5,I$11:I39)+J$10</f>
        <v>0</v>
      </c>
      <c r="L39" s="42">
        <f t="shared" si="5"/>
        <v>2056</v>
      </c>
      <c r="M39" s="47">
        <v>1.9145840582833471</v>
      </c>
      <c r="N39" s="103">
        <f>NPV($D$5,M$11:M39)+N$10</f>
        <v>19.388707544408597</v>
      </c>
      <c r="P39" s="42">
        <f t="shared" si="0"/>
        <v>2056</v>
      </c>
      <c r="Q39" s="47">
        <f>'Avoided Electricity'!P39</f>
        <v>4.0232118985835758E-2</v>
      </c>
      <c r="R39" s="154">
        <f>NPV($D$5,Q$11:Q39)+R$10</f>
        <v>0.79361690914609673</v>
      </c>
      <c r="S39" s="149"/>
      <c r="T39" s="42">
        <f t="shared" si="1"/>
        <v>2056</v>
      </c>
      <c r="U39" s="174">
        <f>'Avoided Electricity'!Q39</f>
        <v>828.75298399183089</v>
      </c>
      <c r="V39" s="155">
        <f>NPV($D$5,U$11:U39)+V$10</f>
        <v>5736.8914171687238</v>
      </c>
      <c r="W39" s="173" t="s">
        <v>21</v>
      </c>
      <c r="X39" s="42">
        <f t="shared" si="2"/>
        <v>2056</v>
      </c>
      <c r="Y39" s="174">
        <f>Y38*(1+'General Inputs'!$C$5)</f>
        <v>0</v>
      </c>
      <c r="Z39" s="155">
        <f>NPV($D$5,Y$11:Y39)+Z$10</f>
        <v>612.17682515682066</v>
      </c>
    </row>
    <row r="40" spans="1:26" x14ac:dyDescent="0.2">
      <c r="A40" s="44"/>
      <c r="B40" s="42">
        <f t="shared" si="3"/>
        <v>2057</v>
      </c>
      <c r="C40" s="47">
        <f>C39*(1+'General Inputs'!$C$5)</f>
        <v>0.6397031213557951</v>
      </c>
      <c r="D40" s="103">
        <f>NPV($D$5,C$11:C40)+D$10</f>
        <v>5.2366319674629933</v>
      </c>
      <c r="E40" s="47">
        <f>E39*(1+'General Inputs'!$C$5)</f>
        <v>0.69913029972944329</v>
      </c>
      <c r="F40" s="103">
        <f>NPV($D$5,E$11:E40)+F$10</f>
        <v>5.8468703502627637</v>
      </c>
      <c r="G40" s="45"/>
      <c r="H40" s="42">
        <f t="shared" si="4"/>
        <v>2057</v>
      </c>
      <c r="I40" s="47">
        <f t="shared" si="6"/>
        <v>0</v>
      </c>
      <c r="J40" s="103">
        <f>NPV('2025 EGD Avoided Costs'!$D$5,I$11:I40)+J$10</f>
        <v>0</v>
      </c>
      <c r="L40" s="42">
        <f t="shared" si="5"/>
        <v>2057</v>
      </c>
      <c r="M40" s="47">
        <v>1.9528757394490142</v>
      </c>
      <c r="N40" s="103">
        <f>NPV($D$5,M$11:M40)+N$10</f>
        <v>19.721113869014722</v>
      </c>
      <c r="P40" s="42">
        <f t="shared" si="0"/>
        <v>2057</v>
      </c>
      <c r="Q40" s="47">
        <f>'Avoided Electricity'!P40</f>
        <v>4.1036761365552475E-2</v>
      </c>
      <c r="R40" s="154">
        <f>NPV($D$5,Q$11:Q40)+R$10</f>
        <v>0.80060193064219598</v>
      </c>
      <c r="S40" s="149"/>
      <c r="T40" s="42">
        <f t="shared" si="1"/>
        <v>2057</v>
      </c>
      <c r="U40" s="174">
        <f>'Avoided Electricity'!Q40</f>
        <v>845.32804367166761</v>
      </c>
      <c r="V40" s="155">
        <f>NPV($D$5,U$11:U40)+V$10</f>
        <v>5880.7778828599139</v>
      </c>
      <c r="W40" s="173" t="s">
        <v>21</v>
      </c>
      <c r="X40" s="42">
        <f t="shared" si="2"/>
        <v>2057</v>
      </c>
      <c r="Y40" s="174">
        <f>Y39*(1+'General Inputs'!$C$5)</f>
        <v>0</v>
      </c>
      <c r="Z40" s="155">
        <f>NPV($D$5,Y$11:Y40)+Z$10</f>
        <v>612.17682515682066</v>
      </c>
    </row>
    <row r="41" spans="1:26" x14ac:dyDescent="0.2">
      <c r="A41" s="44"/>
      <c r="B41" s="42">
        <f t="shared" si="3"/>
        <v>2058</v>
      </c>
      <c r="C41" s="47">
        <f>C40*(1+'General Inputs'!$C$5)</f>
        <v>0.65249718378291099</v>
      </c>
      <c r="D41" s="103">
        <f>NPV($D$5,C$11:C41)+D$10</f>
        <v>5.341330308121047</v>
      </c>
      <c r="E41" s="47">
        <f>E40*(1+'General Inputs'!$C$5)</f>
        <v>0.71311290572403219</v>
      </c>
      <c r="F41" s="103">
        <f>NPV($D$5,E$11:E41)+F$10</f>
        <v>5.9612949635588564</v>
      </c>
      <c r="G41" s="45"/>
      <c r="H41" s="42">
        <f t="shared" si="4"/>
        <v>2058</v>
      </c>
      <c r="I41" s="47">
        <f t="shared" si="6"/>
        <v>0</v>
      </c>
      <c r="J41" s="103">
        <f>NPV('2025 EGD Avoided Costs'!$D$5,I$11:I41)+J$10</f>
        <v>0</v>
      </c>
      <c r="L41" s="42">
        <f t="shared" si="5"/>
        <v>2058</v>
      </c>
      <c r="M41" s="47">
        <v>1.9919332542379944</v>
      </c>
      <c r="N41" s="103">
        <f>NPV($D$5,M$11:M41)+N$10</f>
        <v>20.040735334982152</v>
      </c>
      <c r="P41" s="42">
        <f t="shared" si="0"/>
        <v>2058</v>
      </c>
      <c r="Q41" s="47">
        <f>'Avoided Electricity'!P41</f>
        <v>4.1857496592863516E-2</v>
      </c>
      <c r="R41" s="154">
        <f>NPV($D$5,Q$11:Q41)+R$10</f>
        <v>0.80731829746536832</v>
      </c>
      <c r="S41" s="149"/>
      <c r="T41" s="42">
        <f t="shared" si="1"/>
        <v>2058</v>
      </c>
      <c r="U41" s="174">
        <f>'Avoided Electricity'!Q41</f>
        <v>862.23460454510086</v>
      </c>
      <c r="V41" s="155">
        <f>NPV($D$5,U$11:U41)+V$10</f>
        <v>6019.1302537168276</v>
      </c>
      <c r="W41" s="173" t="s">
        <v>21</v>
      </c>
      <c r="X41" s="42">
        <f t="shared" si="2"/>
        <v>2058</v>
      </c>
      <c r="Y41" s="174">
        <f>Y40*(1+'General Inputs'!$C$5)</f>
        <v>0</v>
      </c>
      <c r="Z41" s="155">
        <f>NPV($D$5,Y$11:Y41)+Z$10</f>
        <v>612.17682515682066</v>
      </c>
    </row>
    <row r="42" spans="1:26" x14ac:dyDescent="0.2">
      <c r="A42" s="44"/>
      <c r="B42" s="42">
        <f t="shared" si="3"/>
        <v>2059</v>
      </c>
      <c r="C42" s="47">
        <f>C41*(1+'General Inputs'!$C$5)</f>
        <v>0.66554712745856925</v>
      </c>
      <c r="D42" s="103">
        <f>NPV($D$5,C$11:C42)+D$10</f>
        <v>5.4420017895230215</v>
      </c>
      <c r="E42" s="47">
        <f>E41*(1+'General Inputs'!$C$5)</f>
        <v>0.72737516383851286</v>
      </c>
      <c r="F42" s="103">
        <f>NPV($D$5,E$11:E42)+F$10</f>
        <v>6.0713186301897144</v>
      </c>
      <c r="G42" s="45"/>
      <c r="H42" s="42">
        <f t="shared" si="4"/>
        <v>2059</v>
      </c>
      <c r="I42" s="47">
        <f t="shared" si="6"/>
        <v>0</v>
      </c>
      <c r="J42" s="103">
        <f>NPV('2025 EGD Avoided Costs'!$D$5,I$11:I42)+J$10</f>
        <v>0</v>
      </c>
      <c r="L42" s="42">
        <f t="shared" si="5"/>
        <v>2059</v>
      </c>
      <c r="M42" s="47">
        <v>2.0317719193227544</v>
      </c>
      <c r="N42" s="103">
        <f>NPV($D$5,M$11:M42)+N$10</f>
        <v>20.348063667643142</v>
      </c>
      <c r="P42" s="42">
        <f t="shared" si="0"/>
        <v>2059</v>
      </c>
      <c r="Q42" s="47">
        <f>'Avoided Electricity'!P42</f>
        <v>4.269464652472079E-2</v>
      </c>
      <c r="R42" s="154">
        <f>NPV($D$5,Q$11:Q42)+R$10</f>
        <v>0.81377634248764941</v>
      </c>
      <c r="S42" s="149"/>
      <c r="T42" s="42">
        <f t="shared" si="1"/>
        <v>2059</v>
      </c>
      <c r="U42" s="174">
        <f>'Avoided Electricity'!Q42</f>
        <v>879.4792966360028</v>
      </c>
      <c r="V42" s="155">
        <f>NPV($D$5,U$11:U42)+V$10</f>
        <v>6152.1613795407829</v>
      </c>
      <c r="W42" s="173" t="s">
        <v>21</v>
      </c>
      <c r="X42" s="42">
        <f t="shared" si="2"/>
        <v>2059</v>
      </c>
      <c r="Y42" s="174">
        <f>Y41*(1+'General Inputs'!$C$5)</f>
        <v>0</v>
      </c>
      <c r="Z42" s="155">
        <f>NPV($D$5,Y$11:Y42)+Z$10</f>
        <v>612.17682515682066</v>
      </c>
    </row>
    <row r="43" spans="1:26" x14ac:dyDescent="0.2">
      <c r="A43" s="44"/>
      <c r="B43" s="42">
        <f t="shared" si="3"/>
        <v>2060</v>
      </c>
      <c r="C43" s="47">
        <f>C42*(1+'General Inputs'!$C$5)</f>
        <v>0.67885807000774068</v>
      </c>
      <c r="D43" s="103">
        <f>NPV($D$5,C$11:C43)+D$10</f>
        <v>5.5388012908710733</v>
      </c>
      <c r="E43" s="47">
        <f>E42*(1+'General Inputs'!$C$5)</f>
        <v>0.7419226671152831</v>
      </c>
      <c r="F43" s="103">
        <f>NPV($D$5,E$11:E43)+F$10</f>
        <v>6.1771106173347698</v>
      </c>
      <c r="G43" s="45"/>
      <c r="H43" s="42">
        <f t="shared" si="4"/>
        <v>2060</v>
      </c>
      <c r="I43" s="47">
        <f t="shared" si="6"/>
        <v>0</v>
      </c>
      <c r="J43" s="103">
        <f>NPV('2025 EGD Avoided Costs'!$D$5,I$11:I43)+J$10</f>
        <v>0</v>
      </c>
      <c r="L43" s="42">
        <f t="shared" si="5"/>
        <v>2060</v>
      </c>
      <c r="M43" s="47">
        <v>2.0724073577092095</v>
      </c>
      <c r="N43" s="103">
        <f>NPV($D$5,M$11:M43)+N$10</f>
        <v>20.643571679817175</v>
      </c>
      <c r="P43" s="42">
        <f t="shared" si="0"/>
        <v>2060</v>
      </c>
      <c r="Q43" s="47">
        <f>'Avoided Electricity'!P43</f>
        <v>4.3548539455215196E-2</v>
      </c>
      <c r="R43" s="154">
        <f>NPV($D$5,Q$11:Q43)+R$10</f>
        <v>0.81998600116291975</v>
      </c>
      <c r="S43" s="149"/>
      <c r="T43" s="42">
        <f t="shared" si="1"/>
        <v>2060</v>
      </c>
      <c r="U43" s="174">
        <f>'Avoided Electricity'!Q43</f>
        <v>897.06888256872287</v>
      </c>
      <c r="V43" s="155">
        <f>NPV($D$5,U$11:U43)+V$10</f>
        <v>6280.0759236022777</v>
      </c>
      <c r="W43" s="173" t="s">
        <v>21</v>
      </c>
      <c r="X43" s="42">
        <f t="shared" si="2"/>
        <v>2060</v>
      </c>
      <c r="Y43" s="174">
        <f>Y42*(1+'General Inputs'!$C$5)</f>
        <v>0</v>
      </c>
      <c r="Z43" s="155">
        <f>NPV($D$5,Y$11:Y43)+Z$10</f>
        <v>612.17682515682066</v>
      </c>
    </row>
    <row r="44" spans="1:26" x14ac:dyDescent="0.2">
      <c r="A44" s="44"/>
      <c r="B44" s="43">
        <f t="shared" si="3"/>
        <v>2061</v>
      </c>
      <c r="C44" s="48">
        <f>C43*(1+'General Inputs'!$C$5)</f>
        <v>0.69243523140789554</v>
      </c>
      <c r="D44" s="104">
        <f>NPV($D$5,C$11:C44)+D$10</f>
        <v>5.63187773447497</v>
      </c>
      <c r="E44" s="48">
        <f>E43*(1+'General Inputs'!$C$5)</f>
        <v>0.75676112045758881</v>
      </c>
      <c r="F44" s="104">
        <f>NPV($D$5,E$11:E44)+F$10</f>
        <v>6.278833681897324</v>
      </c>
      <c r="G44" s="45"/>
      <c r="H44" s="43">
        <f t="shared" si="4"/>
        <v>2061</v>
      </c>
      <c r="I44" s="48">
        <f t="shared" si="6"/>
        <v>0</v>
      </c>
      <c r="J44" s="104">
        <f>NPV('2025 EGD Avoided Costs'!$D$5,I$11:I44)+J$10</f>
        <v>0</v>
      </c>
      <c r="L44" s="43">
        <f t="shared" si="5"/>
        <v>2061</v>
      </c>
      <c r="M44" s="48">
        <v>2.1138555048633938</v>
      </c>
      <c r="N44" s="104">
        <f>NPV($D$5,M$11:M44)+N$10</f>
        <v>20.927713999215278</v>
      </c>
      <c r="P44" s="43">
        <f t="shared" si="0"/>
        <v>2061</v>
      </c>
      <c r="Q44" s="48">
        <f>'Avoided Electricity'!P44</f>
        <v>4.4419510244319511E-2</v>
      </c>
      <c r="R44" s="166">
        <f>NPV($D$5,Q$11:Q44)+R$10</f>
        <v>0.82595682681221805</v>
      </c>
      <c r="S44" s="149"/>
      <c r="T44" s="43">
        <f t="shared" si="1"/>
        <v>2061</v>
      </c>
      <c r="U44" s="176">
        <f>'Avoided Electricity'!Q44</f>
        <v>915.01026022009739</v>
      </c>
      <c r="V44" s="163">
        <f>NPV($D$5,U$11:U44)+V$10</f>
        <v>6403.0706775075623</v>
      </c>
      <c r="W44" s="177" t="s">
        <v>21</v>
      </c>
      <c r="X44" s="43">
        <f t="shared" si="2"/>
        <v>2061</v>
      </c>
      <c r="Y44" s="176">
        <f>Y43*(1+'General Inputs'!$C$5)</f>
        <v>0</v>
      </c>
      <c r="Z44" s="163">
        <f>NPV($D$5,Y$11:Y44)+Z$10</f>
        <v>612.17682515682066</v>
      </c>
    </row>
    <row r="45" spans="1:26" x14ac:dyDescent="0.2">
      <c r="A45" s="109"/>
      <c r="C45" s="125"/>
      <c r="G45" s="45"/>
      <c r="N45" s="7"/>
      <c r="T45"/>
      <c r="U45"/>
    </row>
    <row r="46" spans="1:26" x14ac:dyDescent="0.2">
      <c r="A46" s="109"/>
      <c r="B46" s="7" t="s">
        <v>23</v>
      </c>
      <c r="G46" s="45"/>
    </row>
    <row r="47" spans="1:26" x14ac:dyDescent="0.2">
      <c r="A47" s="109"/>
      <c r="B47" s="7" t="s">
        <v>24</v>
      </c>
      <c r="G47" s="45"/>
    </row>
    <row r="48" spans="1:26" x14ac:dyDescent="0.2">
      <c r="B48" s="7" t="s">
        <v>25</v>
      </c>
    </row>
    <row r="50" spans="2:9" x14ac:dyDescent="0.2">
      <c r="B50"/>
      <c r="C50"/>
      <c r="D50"/>
      <c r="E50"/>
      <c r="F50"/>
      <c r="G50"/>
      <c r="H50"/>
      <c r="I50"/>
    </row>
    <row r="51" spans="2:9" x14ac:dyDescent="0.2">
      <c r="B51"/>
      <c r="C51"/>
      <c r="D51"/>
      <c r="E51"/>
      <c r="F51"/>
      <c r="G51"/>
      <c r="H51"/>
      <c r="I51"/>
    </row>
    <row r="52" spans="2:9" x14ac:dyDescent="0.2">
      <c r="B52"/>
      <c r="C52"/>
      <c r="D52"/>
      <c r="E52"/>
      <c r="F52"/>
      <c r="G52"/>
      <c r="H52"/>
      <c r="I52"/>
    </row>
    <row r="53" spans="2:9" x14ac:dyDescent="0.2">
      <c r="B53"/>
      <c r="C53"/>
      <c r="D53"/>
      <c r="E53"/>
      <c r="F53"/>
      <c r="G53"/>
      <c r="H53"/>
      <c r="I53"/>
    </row>
    <row r="54" spans="2:9" x14ac:dyDescent="0.2">
      <c r="B54"/>
      <c r="C54"/>
      <c r="D54"/>
      <c r="E54"/>
      <c r="F54"/>
      <c r="G54"/>
      <c r="H54"/>
      <c r="I54"/>
    </row>
    <row r="55" spans="2:9" x14ac:dyDescent="0.2">
      <c r="B55"/>
      <c r="C55"/>
      <c r="D55"/>
      <c r="E55"/>
      <c r="F55"/>
      <c r="G55"/>
      <c r="H55"/>
      <c r="I55"/>
    </row>
    <row r="56" spans="2:9" x14ac:dyDescent="0.2">
      <c r="B56"/>
      <c r="C56"/>
      <c r="D56"/>
      <c r="E56"/>
      <c r="F56"/>
      <c r="G56"/>
      <c r="H56"/>
      <c r="I56"/>
    </row>
    <row r="57" spans="2:9" x14ac:dyDescent="0.2">
      <c r="B57"/>
      <c r="C57"/>
      <c r="D57"/>
      <c r="E57"/>
      <c r="F57"/>
      <c r="G57"/>
      <c r="H57"/>
      <c r="I57"/>
    </row>
    <row r="58" spans="2:9" x14ac:dyDescent="0.2">
      <c r="B58"/>
      <c r="C58"/>
      <c r="D58"/>
      <c r="E58"/>
      <c r="F58"/>
      <c r="G58"/>
      <c r="H58"/>
      <c r="I58"/>
    </row>
    <row r="59" spans="2:9" x14ac:dyDescent="0.2">
      <c r="B59"/>
      <c r="C59"/>
      <c r="D59"/>
      <c r="E59"/>
      <c r="F59"/>
      <c r="G59"/>
      <c r="H59"/>
      <c r="I59"/>
    </row>
    <row r="60" spans="2:9" x14ac:dyDescent="0.2">
      <c r="B60"/>
      <c r="C60"/>
      <c r="D60"/>
      <c r="E60"/>
      <c r="F60"/>
      <c r="G60"/>
      <c r="H60"/>
      <c r="I60"/>
    </row>
  </sheetData>
  <mergeCells count="10">
    <mergeCell ref="T7:V7"/>
    <mergeCell ref="X7:Z7"/>
    <mergeCell ref="C8:D8"/>
    <mergeCell ref="E8:F8"/>
    <mergeCell ref="B4:C4"/>
    <mergeCell ref="B5:C5"/>
    <mergeCell ref="B7:F7"/>
    <mergeCell ref="P7:R7"/>
    <mergeCell ref="H7:J7"/>
    <mergeCell ref="L7:N7"/>
  </mergeCells>
  <pageMargins left="0.7" right="0.7" top="0.75" bottom="0.75" header="0.3" footer="0.3"/>
  <pageSetup scale="4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F3384-825C-4A2D-8425-3C01BA81F2E4}">
  <sheetPr>
    <pageSetUpPr fitToPage="1"/>
  </sheetPr>
  <dimension ref="B1:F36"/>
  <sheetViews>
    <sheetView workbookViewId="0">
      <selection activeCell="B38" sqref="B38"/>
    </sheetView>
  </sheetViews>
  <sheetFormatPr defaultColWidth="9.140625" defaultRowHeight="12.75" x14ac:dyDescent="0.2"/>
  <cols>
    <col min="1" max="1" width="7.140625" style="1" customWidth="1"/>
    <col min="2" max="4" width="17.140625" style="1" customWidth="1"/>
    <col min="5" max="5" width="7.140625" style="1" customWidth="1"/>
    <col min="6" max="6" width="35.7109375" style="1" customWidth="1"/>
    <col min="7" max="16384" width="9.140625" style="1"/>
  </cols>
  <sheetData>
    <row r="1" spans="2:6" x14ac:dyDescent="0.2">
      <c r="B1" s="71" t="s">
        <v>0</v>
      </c>
      <c r="F1" s="70"/>
    </row>
    <row r="2" spans="2:6" x14ac:dyDescent="0.2">
      <c r="B2" s="331"/>
      <c r="C2" s="312"/>
      <c r="D2" s="313"/>
    </row>
    <row r="3" spans="2:6" x14ac:dyDescent="0.2">
      <c r="B3" s="4" t="s">
        <v>91</v>
      </c>
      <c r="D3" s="148">
        <v>2.2100000000000002E-3</v>
      </c>
      <c r="F3" s="406" t="s">
        <v>92</v>
      </c>
    </row>
    <row r="4" spans="2:6" x14ac:dyDescent="0.2">
      <c r="B4" s="4"/>
      <c r="D4" s="16"/>
      <c r="F4" s="406"/>
    </row>
    <row r="5" spans="2:6" x14ac:dyDescent="0.2">
      <c r="B5" s="393" t="s">
        <v>54</v>
      </c>
      <c r="C5" s="405"/>
      <c r="D5" s="394"/>
      <c r="F5" s="406"/>
    </row>
    <row r="6" spans="2:6" ht="25.5" x14ac:dyDescent="0.2">
      <c r="B6" s="36" t="s">
        <v>17</v>
      </c>
      <c r="C6" s="37" t="s">
        <v>84</v>
      </c>
      <c r="D6" s="38" t="s">
        <v>85</v>
      </c>
      <c r="F6" s="406"/>
    </row>
    <row r="7" spans="2:6" x14ac:dyDescent="0.2">
      <c r="B7" s="31">
        <f>'General Inputs'!C2</f>
        <v>2025</v>
      </c>
      <c r="C7" s="27">
        <f>$D$3*'EGD SENDOUT Report'!I4</f>
        <v>3.2351132851221484E-4</v>
      </c>
      <c r="D7" s="39">
        <f>$D$3*'EGD SENDOUT Report'!J4</f>
        <v>3.3374216917946258E-4</v>
      </c>
    </row>
    <row r="8" spans="2:6" x14ac:dyDescent="0.2">
      <c r="B8" s="31">
        <f>B7+1</f>
        <v>2026</v>
      </c>
      <c r="C8" s="27">
        <f>$D$3*'EGD SENDOUT Report'!I5</f>
        <v>3.8068886620525912E-4</v>
      </c>
      <c r="D8" s="39">
        <f>$D$3*'EGD SENDOUT Report'!J5</f>
        <v>3.9105892068006854E-4</v>
      </c>
    </row>
    <row r="9" spans="2:6" x14ac:dyDescent="0.2">
      <c r="B9" s="31">
        <f t="shared" ref="B9:B36" si="0">B8+1</f>
        <v>2027</v>
      </c>
      <c r="C9" s="27">
        <f>$D$3*'EGD SENDOUT Report'!I6</f>
        <v>3.9454165860920855E-4</v>
      </c>
      <c r="D9" s="39">
        <f>$D$3*'EGD SENDOUT Report'!J6</f>
        <v>3.9846607947872903E-4</v>
      </c>
    </row>
    <row r="10" spans="2:6" x14ac:dyDescent="0.2">
      <c r="B10" s="31">
        <f t="shared" si="0"/>
        <v>2028</v>
      </c>
      <c r="C10" s="27">
        <f>$D$3*'EGD SENDOUT Report'!I7</f>
        <v>4.7177672308869567E-4</v>
      </c>
      <c r="D10" s="39">
        <f>$D$3*'EGD SENDOUT Report'!J7</f>
        <v>4.7309768315337628E-4</v>
      </c>
    </row>
    <row r="11" spans="2:6" x14ac:dyDescent="0.2">
      <c r="B11" s="31">
        <f t="shared" si="0"/>
        <v>2029</v>
      </c>
      <c r="C11" s="27">
        <f>$D$3*'EGD SENDOUT Report'!I8</f>
        <v>4.9379536100490294E-4</v>
      </c>
      <c r="D11" s="39">
        <f>$D$3*'EGD SENDOUT Report'!J8</f>
        <v>4.9514274027087711E-4</v>
      </c>
    </row>
    <row r="12" spans="2:6" x14ac:dyDescent="0.2">
      <c r="B12" s="31">
        <f t="shared" si="0"/>
        <v>2030</v>
      </c>
      <c r="C12" s="27">
        <f>$D$3*'EGD SENDOUT Report'!I9</f>
        <v>5.3291885663658465E-4</v>
      </c>
      <c r="D12" s="39">
        <f>$D$3*'EGD SENDOUT Report'!J9</f>
        <v>5.3429318348787835E-4</v>
      </c>
    </row>
    <row r="13" spans="2:6" x14ac:dyDescent="0.2">
      <c r="B13" s="31">
        <f t="shared" si="0"/>
        <v>2031</v>
      </c>
      <c r="C13" s="27">
        <f>$D$3*'EGD SENDOUT Report'!I10</f>
        <v>5.6327953663157845E-4</v>
      </c>
      <c r="D13" s="39">
        <f>$D$3*'EGD SENDOUT Report'!J10</f>
        <v>5.6468135001989798E-4</v>
      </c>
    </row>
    <row r="14" spans="2:6" x14ac:dyDescent="0.2">
      <c r="B14" s="31">
        <f t="shared" si="0"/>
        <v>2032</v>
      </c>
      <c r="C14" s="27">
        <f>$D$3*'EGD SENDOUT Report'!I11</f>
        <v>5.5837060812183911E-4</v>
      </c>
      <c r="D14" s="39">
        <f>$D$3*'EGD SENDOUT Report'!J11</f>
        <v>5.598004577779251E-4</v>
      </c>
    </row>
    <row r="15" spans="2:6" x14ac:dyDescent="0.2">
      <c r="B15" s="31">
        <f t="shared" si="0"/>
        <v>2033</v>
      </c>
      <c r="C15" s="27">
        <f>$D$3*'EGD SENDOUT Report'!I12</f>
        <v>5.8653428265155103E-4</v>
      </c>
      <c r="D15" s="39">
        <f>$D$3*'EGD SENDOUT Report'!J12</f>
        <v>5.8799272930075864E-4</v>
      </c>
    </row>
    <row r="16" spans="2:6" x14ac:dyDescent="0.2">
      <c r="B16" s="31">
        <f t="shared" si="0"/>
        <v>2034</v>
      </c>
      <c r="C16" s="27">
        <f>$D$3*'EGD SENDOUT Report'!I13</f>
        <v>6.06309977130691E-4</v>
      </c>
      <c r="D16" s="39">
        <f>$D$3*'EGD SENDOUT Report'!J13</f>
        <v>6.0779759271288288E-4</v>
      </c>
    </row>
    <row r="17" spans="2:4" x14ac:dyDescent="0.2">
      <c r="B17" s="31">
        <f t="shared" si="0"/>
        <v>2035</v>
      </c>
      <c r="C17" s="27">
        <f>$D$3*'EGD SENDOUT Report'!I14</f>
        <v>6.2066575045216011E-4</v>
      </c>
      <c r="D17" s="39">
        <f>$D$3*'EGD SENDOUT Report'!J14</f>
        <v>6.2218311834599577E-4</v>
      </c>
    </row>
    <row r="18" spans="2:4" x14ac:dyDescent="0.2">
      <c r="B18" s="31">
        <f t="shared" si="0"/>
        <v>2036</v>
      </c>
      <c r="C18" s="27">
        <f>$D$3*'EGD SENDOUT Report'!I15</f>
        <v>6.3084623489309077E-4</v>
      </c>
      <c r="D18" s="39">
        <f>$D$3*'EGD SENDOUT Report'!J15</f>
        <v>6.3239395014480309E-4</v>
      </c>
    </row>
    <row r="19" spans="2:4" x14ac:dyDescent="0.2">
      <c r="B19" s="31">
        <f t="shared" si="0"/>
        <v>2037</v>
      </c>
      <c r="C19" s="27">
        <f>$D$3*'EGD SENDOUT Report'!I16</f>
        <v>6.3655833158000343E-4</v>
      </c>
      <c r="D19" s="39">
        <f>$D$3*'EGD SENDOUT Report'!J16</f>
        <v>6.3813700113675008E-4</v>
      </c>
    </row>
    <row r="20" spans="2:4" x14ac:dyDescent="0.2">
      <c r="B20" s="31">
        <f t="shared" si="0"/>
        <v>2038</v>
      </c>
      <c r="C20" s="27">
        <f>$D$3*'EGD SENDOUT Report'!I17</f>
        <v>6.4663065239607741E-4</v>
      </c>
      <c r="D20" s="39">
        <f>$D$3*'EGD SENDOUT Report'!J17</f>
        <v>6.4824089534395893E-4</v>
      </c>
    </row>
    <row r="21" spans="2:4" x14ac:dyDescent="0.2">
      <c r="B21" s="31">
        <f t="shared" si="0"/>
        <v>2039</v>
      </c>
      <c r="C21" s="27">
        <f>$D$3*'EGD SENDOUT Report'!I18</f>
        <v>6.8403544668157112E-4</v>
      </c>
      <c r="D21" s="39">
        <f>$D$3*'EGD SENDOUT Report'!J18</f>
        <v>6.856778944884103E-4</v>
      </c>
    </row>
    <row r="22" spans="2:4" x14ac:dyDescent="0.2">
      <c r="B22" s="31">
        <f t="shared" si="0"/>
        <v>2040</v>
      </c>
      <c r="C22" s="27">
        <f>$D$3*'EGD SENDOUT Report'!I19</f>
        <v>7.1250686451882644E-4</v>
      </c>
      <c r="D22" s="39">
        <f>$D$3*'EGD SENDOUT Report'!J19</f>
        <v>7.1418216128180242E-4</v>
      </c>
    </row>
    <row r="23" spans="2:4" x14ac:dyDescent="0.2">
      <c r="B23" s="31">
        <f t="shared" si="0"/>
        <v>2041</v>
      </c>
      <c r="C23" s="27">
        <f>$D$3*'EGD SENDOUT Report'!I20</f>
        <v>7.3582985580378929E-4</v>
      </c>
      <c r="D23" s="39">
        <f>$D$3*'EGD SENDOUT Report'!J20</f>
        <v>7.3753865850202465E-4</v>
      </c>
    </row>
    <row r="24" spans="2:4" x14ac:dyDescent="0.2">
      <c r="B24" s="31">
        <f t="shared" si="0"/>
        <v>2042</v>
      </c>
      <c r="C24" s="27">
        <f>$D$3*'EGD SENDOUT Report'!I21</f>
        <v>7.5968019598700168E-4</v>
      </c>
      <c r="D24" s="39">
        <f>$D$3*'EGD SENDOUT Report'!J21</f>
        <v>7.6142317473920174E-4</v>
      </c>
    </row>
    <row r="25" spans="2:4" x14ac:dyDescent="0.2">
      <c r="B25" s="31">
        <f t="shared" si="0"/>
        <v>2043</v>
      </c>
      <c r="C25" s="27">
        <f>$D$3*'EGD SENDOUT Report'!I22</f>
        <v>7.9735605037107909E-4</v>
      </c>
      <c r="D25" s="39">
        <f>$D$3*'EGD SENDOUT Report'!J22</f>
        <v>7.991338886983232E-4</v>
      </c>
    </row>
    <row r="26" spans="2:4" x14ac:dyDescent="0.2">
      <c r="B26" s="31">
        <f t="shared" si="0"/>
        <v>2044</v>
      </c>
      <c r="C26" s="27">
        <f>$D$3*'EGD SENDOUT Report'!I23</f>
        <v>8.4139762805931595E-4</v>
      </c>
      <c r="D26" s="39">
        <f>$D$3*'EGD SENDOUT Report'!J23</f>
        <v>8.4321102315310494E-4</v>
      </c>
    </row>
    <row r="27" spans="2:4" x14ac:dyDescent="0.2">
      <c r="B27" s="31">
        <f t="shared" si="0"/>
        <v>2045</v>
      </c>
      <c r="C27" s="27">
        <f>$D$3*'EGD SENDOUT Report'!I24</f>
        <v>8.7787475690217186E-4</v>
      </c>
      <c r="D27" s="39">
        <f>$D$3*'EGD SENDOUT Report'!J24</f>
        <v>8.7972441989783668E-4</v>
      </c>
    </row>
    <row r="28" spans="2:4" x14ac:dyDescent="0.2">
      <c r="B28" s="31">
        <f t="shared" si="0"/>
        <v>2046</v>
      </c>
      <c r="C28" s="27">
        <f>$D$3*'EGD SENDOUT Report'!I25</f>
        <v>8.9503810613279821E-4</v>
      </c>
      <c r="D28" s="39">
        <f>$D$3*'EGD SENDOUT Report'!J25</f>
        <v>8.9692476238837629E-4</v>
      </c>
    </row>
    <row r="29" spans="2:4" x14ac:dyDescent="0.2">
      <c r="B29" s="31">
        <f t="shared" si="0"/>
        <v>2047</v>
      </c>
      <c r="C29" s="27">
        <f>$D$3*'EGD SENDOUT Report'!I26</f>
        <v>9.2618350350902692E-4</v>
      </c>
      <c r="D29" s="39">
        <f>$D$3*'EGD SENDOUT Report'!J26</f>
        <v>9.2810789288971665E-4</v>
      </c>
    </row>
    <row r="30" spans="2:4" x14ac:dyDescent="0.2">
      <c r="B30" s="31">
        <f t="shared" si="0"/>
        <v>2048</v>
      </c>
      <c r="C30" s="27">
        <f>$D$3*'EGD SENDOUT Report'!I27</f>
        <v>9.5821670153784682E-4</v>
      </c>
      <c r="D30" s="39">
        <f>$D$3*'EGD SENDOUT Report'!J27</f>
        <v>9.6017957870615019E-4</v>
      </c>
    </row>
    <row r="31" spans="2:4" x14ac:dyDescent="0.2">
      <c r="B31" s="31">
        <f t="shared" si="0"/>
        <v>2049</v>
      </c>
      <c r="C31" s="27">
        <f>$D$3*'EGD SENDOUT Report'!I28</f>
        <v>9.9116075408641575E-4</v>
      </c>
      <c r="D31" s="39">
        <f>$D$3*'EGD SENDOUT Report'!J28</f>
        <v>9.9316288879808538E-4</v>
      </c>
    </row>
    <row r="32" spans="2:4" x14ac:dyDescent="0.2">
      <c r="B32" s="31">
        <f t="shared" si="0"/>
        <v>2050</v>
      </c>
      <c r="C32" s="27">
        <f>$D$3*'EGD SENDOUT Report'!I29</f>
        <v>1.0250392820563177E-3</v>
      </c>
      <c r="D32" s="39">
        <f>$D$3*'EGD SENDOUT Report'!J29</f>
        <v>1.0270814594622207E-3</v>
      </c>
    </row>
    <row r="33" spans="2:4" x14ac:dyDescent="0.2">
      <c r="B33" s="31">
        <f t="shared" si="0"/>
        <v>2051</v>
      </c>
      <c r="C33" s="27">
        <f>$D$3*'EGD SENDOUT Report'!I30</f>
        <v>1.0598764868433759E-3</v>
      </c>
      <c r="D33" s="39">
        <f>$D$3*'EGD SENDOUT Report'!J30</f>
        <v>1.0619595077973969E-3</v>
      </c>
    </row>
    <row r="34" spans="2:4" x14ac:dyDescent="0.2">
      <c r="B34" s="31">
        <f t="shared" si="0"/>
        <v>2052</v>
      </c>
      <c r="C34" s="27">
        <f>$D$3*'EGD SENDOUT Report'!I31</f>
        <v>1.095697164109099E-3</v>
      </c>
      <c r="D34" s="39">
        <f>$D$3*'EGD SENDOUT Report'!J31</f>
        <v>1.0978218454822004E-3</v>
      </c>
    </row>
    <row r="35" spans="2:4" x14ac:dyDescent="0.2">
      <c r="B35" s="31">
        <f t="shared" si="0"/>
        <v>2053</v>
      </c>
      <c r="C35" s="27">
        <f>$D$3*'EGD SENDOUT Report'!I32</f>
        <v>1.1325267178707086E-3</v>
      </c>
      <c r="D35" s="39">
        <f>$D$3*'EGD SENDOUT Report'!J32</f>
        <v>1.1346938928712721E-3</v>
      </c>
    </row>
    <row r="36" spans="2:4" x14ac:dyDescent="0.2">
      <c r="B36" s="33">
        <f t="shared" si="0"/>
        <v>2054</v>
      </c>
      <c r="C36" s="40">
        <f>$D$3*'EGD SENDOUT Report'!I33</f>
        <v>1.1703911749171441E-3</v>
      </c>
      <c r="D36" s="41">
        <f>$D$3*'EGD SENDOUT Report'!J33</f>
        <v>1.172601693417719E-3</v>
      </c>
    </row>
  </sheetData>
  <mergeCells count="2">
    <mergeCell ref="B5:D5"/>
    <mergeCell ref="F3:F6"/>
  </mergeCells>
  <pageMargins left="0.7" right="0.7" top="0.75" bottom="0.75" header="0.3" footer="0.3"/>
  <pageSetup scale="3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FBFCE-E598-41F8-8CA8-0644CAD10F3C}">
  <sheetPr>
    <pageSetUpPr fitToPage="1"/>
  </sheetPr>
  <dimension ref="B1:F36"/>
  <sheetViews>
    <sheetView zoomScaleNormal="100" workbookViewId="0">
      <selection activeCell="G22" sqref="G22"/>
    </sheetView>
  </sheetViews>
  <sheetFormatPr defaultColWidth="9.140625" defaultRowHeight="12.75" x14ac:dyDescent="0.2"/>
  <cols>
    <col min="1" max="1" width="7.140625" style="7" customWidth="1"/>
    <col min="2" max="4" width="17.140625" style="7" customWidth="1"/>
    <col min="5" max="5" width="7.140625" style="7" customWidth="1"/>
    <col min="6" max="6" width="42.140625" style="7" customWidth="1"/>
    <col min="7" max="7" width="17.5703125" style="7" customWidth="1"/>
    <col min="8" max="16384" width="9.140625" style="7"/>
  </cols>
  <sheetData>
    <row r="1" spans="2:6" x14ac:dyDescent="0.2">
      <c r="B1" s="71" t="s">
        <v>0</v>
      </c>
      <c r="E1" s="71"/>
    </row>
    <row r="2" spans="2:6" x14ac:dyDescent="0.2">
      <c r="B2" s="332"/>
      <c r="C2" s="327"/>
      <c r="D2" s="327"/>
      <c r="E2" s="129"/>
    </row>
    <row r="3" spans="2:6" x14ac:dyDescent="0.2">
      <c r="B3" s="129" t="s">
        <v>91</v>
      </c>
      <c r="D3" s="136">
        <v>2.2100000000000002E-3</v>
      </c>
      <c r="E3" s="129"/>
      <c r="F3" s="404" t="s">
        <v>93</v>
      </c>
    </row>
    <row r="4" spans="2:6" x14ac:dyDescent="0.2">
      <c r="B4" s="129"/>
      <c r="E4" s="129"/>
      <c r="F4" s="404"/>
    </row>
    <row r="5" spans="2:6" x14ac:dyDescent="0.2">
      <c r="B5" s="400" t="s">
        <v>54</v>
      </c>
      <c r="C5" s="407"/>
      <c r="D5" s="407"/>
      <c r="E5" s="129"/>
      <c r="F5" s="404"/>
    </row>
    <row r="6" spans="2:6" ht="25.5" x14ac:dyDescent="0.2">
      <c r="B6" s="137" t="s">
        <v>17</v>
      </c>
      <c r="C6" s="138" t="s">
        <v>84</v>
      </c>
      <c r="D6" s="138" t="s">
        <v>85</v>
      </c>
      <c r="E6" s="129"/>
      <c r="F6" s="404"/>
    </row>
    <row r="7" spans="2:6" x14ac:dyDescent="0.2">
      <c r="B7" s="139">
        <f>'General Inputs'!C2</f>
        <v>2025</v>
      </c>
      <c r="C7" s="140">
        <f>$D$3*'UG SENDOUT Report'!I4</f>
        <v>3.239184624200027E-4</v>
      </c>
      <c r="D7" s="140">
        <f>$D$3*'UG SENDOUT Report'!J4</f>
        <v>3.358842670916068E-4</v>
      </c>
      <c r="E7" s="129"/>
    </row>
    <row r="8" spans="2:6" x14ac:dyDescent="0.2">
      <c r="B8" s="139">
        <f>B7+1</f>
        <v>2026</v>
      </c>
      <c r="C8" s="140">
        <f>$D$3*'UG SENDOUT Report'!I5</f>
        <v>4.1368420482688879E-4</v>
      </c>
      <c r="D8" s="140">
        <f>$D$3*'UG SENDOUT Report'!J5</f>
        <v>4.4168450673182872E-4</v>
      </c>
      <c r="E8" s="106"/>
    </row>
    <row r="9" spans="2:6" x14ac:dyDescent="0.2">
      <c r="B9" s="139">
        <f t="shared" ref="B9:B36" si="0">B8+1</f>
        <v>2027</v>
      </c>
      <c r="C9" s="140">
        <f>$D$3*'UG SENDOUT Report'!I6</f>
        <v>4.5645852826989834E-4</v>
      </c>
      <c r="D9" s="140">
        <f>$D$3*'UG SENDOUT Report'!J6</f>
        <v>5.0500738715081219E-4</v>
      </c>
      <c r="E9" s="47"/>
    </row>
    <row r="10" spans="2:6" x14ac:dyDescent="0.2">
      <c r="B10" s="139">
        <f t="shared" si="0"/>
        <v>2028</v>
      </c>
      <c r="C10" s="140">
        <f>$D$3*'UG SENDOUT Report'!I7</f>
        <v>5.2540669545999468E-4</v>
      </c>
      <c r="D10" s="140">
        <f>$D$3*'UG SENDOUT Report'!J7</f>
        <v>5.3531066267170115E-4</v>
      </c>
      <c r="E10" s="47"/>
    </row>
    <row r="11" spans="2:6" x14ac:dyDescent="0.2">
      <c r="B11" s="139">
        <f t="shared" si="0"/>
        <v>2029</v>
      </c>
      <c r="C11" s="140">
        <f>$D$3*'UG SENDOUT Report'!I8</f>
        <v>6.1063570311525048E-4</v>
      </c>
      <c r="D11" s="140">
        <f>$D$3*'UG SENDOUT Report'!J8</f>
        <v>6.2073774967119101E-4</v>
      </c>
      <c r="E11" s="47"/>
    </row>
    <row r="12" spans="2:6" x14ac:dyDescent="0.2">
      <c r="B12" s="139">
        <f t="shared" si="0"/>
        <v>2030</v>
      </c>
      <c r="C12" s="140">
        <f>$D$3*'UG SENDOUT Report'!I9</f>
        <v>6.6266045644405988E-4</v>
      </c>
      <c r="D12" s="140">
        <f>$D$3*'UG SENDOUT Report'!J9</f>
        <v>6.7296454393111929E-4</v>
      </c>
      <c r="E12" s="47"/>
    </row>
    <row r="13" spans="2:6" x14ac:dyDescent="0.2">
      <c r="B13" s="139">
        <f t="shared" si="0"/>
        <v>2031</v>
      </c>
      <c r="C13" s="140">
        <f>$D$3*'UG SENDOUT Report'!I10</f>
        <v>6.9948466483282193E-4</v>
      </c>
      <c r="D13" s="140">
        <f>$D$3*'UG SENDOUT Report'!J10</f>
        <v>7.0999483406962254E-4</v>
      </c>
      <c r="E13" s="47"/>
    </row>
    <row r="14" spans="2:6" x14ac:dyDescent="0.2">
      <c r="B14" s="139">
        <f t="shared" si="0"/>
        <v>2032</v>
      </c>
      <c r="C14" s="140">
        <f>$D$3*'UG SENDOUT Report'!I11</f>
        <v>7.0677753882071104E-4</v>
      </c>
      <c r="D14" s="140">
        <f>$D$3*'UG SENDOUT Report'!J11</f>
        <v>7.1749791144224762E-4</v>
      </c>
      <c r="E14" s="47"/>
    </row>
    <row r="15" spans="2:6" x14ac:dyDescent="0.2">
      <c r="B15" s="139">
        <f t="shared" si="0"/>
        <v>2033</v>
      </c>
      <c r="C15" s="140">
        <f>$D$3*'UG SENDOUT Report'!I12</f>
        <v>7.2970937004449617E-4</v>
      </c>
      <c r="D15" s="140">
        <f>$D$3*'UG SENDOUT Report'!J12</f>
        <v>7.406441501184635E-4</v>
      </c>
      <c r="E15" s="47"/>
    </row>
    <row r="16" spans="2:6" x14ac:dyDescent="0.2">
      <c r="B16" s="139">
        <f t="shared" si="0"/>
        <v>2034</v>
      </c>
      <c r="C16" s="140">
        <f>$D$3*'UG SENDOUT Report'!I13</f>
        <v>7.2063612386211965E-4</v>
      </c>
      <c r="D16" s="140">
        <f>$D$3*'UG SENDOUT Report'!J13</f>
        <v>7.3178959953756624E-4</v>
      </c>
      <c r="E16" s="47"/>
    </row>
    <row r="17" spans="2:5" x14ac:dyDescent="0.2">
      <c r="B17" s="139">
        <f t="shared" si="0"/>
        <v>2035</v>
      </c>
      <c r="C17" s="140">
        <f>$D$3*'UG SENDOUT Report'!I14</f>
        <v>7.1748419179230871E-4</v>
      </c>
      <c r="D17" s="140">
        <f>$D$3*'UG SENDOUT Report'!J14</f>
        <v>7.2886073698126422E-4</v>
      </c>
      <c r="E17" s="47"/>
    </row>
    <row r="18" spans="2:5" x14ac:dyDescent="0.2">
      <c r="B18" s="139">
        <f t="shared" si="0"/>
        <v>2036</v>
      </c>
      <c r="C18" s="140">
        <f>$D$3*'UG SENDOUT Report'!I15</f>
        <v>7.2648493768535927E-4</v>
      </c>
      <c r="D18" s="140">
        <f>$D$3*'UG SENDOUT Report'!J15</f>
        <v>7.3808901377809394E-4</v>
      </c>
      <c r="E18" s="47"/>
    </row>
    <row r="19" spans="2:5" x14ac:dyDescent="0.2">
      <c r="B19" s="139">
        <f t="shared" si="0"/>
        <v>2037</v>
      </c>
      <c r="C19" s="140">
        <f>$D$3*'UG SENDOUT Report'!I16</f>
        <v>7.5585779899468451E-4</v>
      </c>
      <c r="D19" s="140">
        <f>$D$3*'UG SENDOUT Report'!J16</f>
        <v>7.6769395660927374E-4</v>
      </c>
      <c r="E19" s="47"/>
    </row>
    <row r="20" spans="2:5" x14ac:dyDescent="0.2">
      <c r="B20" s="139">
        <f t="shared" si="0"/>
        <v>2038</v>
      </c>
      <c r="C20" s="140">
        <f>$D$3*'UG SENDOUT Report'!I17</f>
        <v>7.9426429847894808E-4</v>
      </c>
      <c r="D20" s="140">
        <f>$D$3*'UG SENDOUT Report'!J17</f>
        <v>8.0633717924582929E-4</v>
      </c>
      <c r="E20" s="47"/>
    </row>
    <row r="21" spans="2:5" x14ac:dyDescent="0.2">
      <c r="B21" s="139">
        <f t="shared" si="0"/>
        <v>2039</v>
      </c>
      <c r="C21" s="140">
        <f>$D$3*'UG SENDOUT Report'!I18</f>
        <v>8.2211299641216627E-4</v>
      </c>
      <c r="D21" s="140">
        <f>$D$3*'UG SENDOUT Report'!J18</f>
        <v>8.3442733479438503E-4</v>
      </c>
      <c r="E21" s="47"/>
    </row>
    <row r="22" spans="2:5" x14ac:dyDescent="0.2">
      <c r="B22" s="139">
        <f t="shared" si="0"/>
        <v>2040</v>
      </c>
      <c r="C22" s="140">
        <f>$D$3*'UG SENDOUT Report'!I19</f>
        <v>8.4104456724796398E-4</v>
      </c>
      <c r="D22" s="140">
        <f>$D$3*'UG SENDOUT Report'!J19</f>
        <v>8.5360519239782706E-4</v>
      </c>
      <c r="E22" s="47"/>
    </row>
    <row r="23" spans="2:5" x14ac:dyDescent="0.2">
      <c r="B23" s="139">
        <f t="shared" si="0"/>
        <v>2041</v>
      </c>
      <c r="C23" s="140">
        <f>$D$3*'UG SENDOUT Report'!I20</f>
        <v>8.799483322689866E-4</v>
      </c>
      <c r="D23" s="140">
        <f>$D$3*'UG SENDOUT Report'!J20</f>
        <v>8.9276016992184703E-4</v>
      </c>
      <c r="E23" s="47"/>
    </row>
    <row r="24" spans="2:5" x14ac:dyDescent="0.2">
      <c r="B24" s="139">
        <f t="shared" si="0"/>
        <v>2042</v>
      </c>
      <c r="C24" s="140">
        <f>$D$3*'UG SENDOUT Report'!I21</f>
        <v>8.949887019989827E-4</v>
      </c>
      <c r="D24" s="140">
        <f>$D$3*'UG SENDOUT Report'!J21</f>
        <v>9.0805677640490041E-4</v>
      </c>
      <c r="E24" s="47"/>
    </row>
    <row r="25" spans="2:5" x14ac:dyDescent="0.2">
      <c r="B25" s="139">
        <f t="shared" si="0"/>
        <v>2043</v>
      </c>
      <c r="C25" s="140">
        <f>$D$3*'UG SENDOUT Report'!I22</f>
        <v>9.459410746055952E-4</v>
      </c>
      <c r="D25" s="140">
        <f>$D$3*'UG SENDOUT Report'!J22</f>
        <v>9.592705104996312E-4</v>
      </c>
      <c r="E25" s="47"/>
    </row>
    <row r="26" spans="2:5" x14ac:dyDescent="0.2">
      <c r="B26" s="139">
        <f t="shared" si="0"/>
        <v>2044</v>
      </c>
      <c r="C26" s="140">
        <f>$D$3*'UG SENDOUT Report'!I23</f>
        <v>9.6550859820395882E-4</v>
      </c>
      <c r="D26" s="140">
        <f>$D$3*'UG SENDOUT Report'!J23</f>
        <v>9.7910462281587565E-4</v>
      </c>
      <c r="E26" s="47"/>
    </row>
    <row r="27" spans="2:5" x14ac:dyDescent="0.2">
      <c r="B27" s="139">
        <f t="shared" si="0"/>
        <v>2045</v>
      </c>
      <c r="C27" s="140">
        <f>$D$3*'UG SENDOUT Report'!I24</f>
        <v>1.0356326824074778E-3</v>
      </c>
      <c r="D27" s="140">
        <f>$D$3*'UG SENDOUT Report'!J24</f>
        <v>1.0495006275116328E-3</v>
      </c>
      <c r="E27" s="47"/>
    </row>
    <row r="28" spans="2:5" x14ac:dyDescent="0.2">
      <c r="B28" s="139">
        <f t="shared" si="0"/>
        <v>2046</v>
      </c>
      <c r="C28" s="140">
        <f>$D$3*'UG SENDOUT Report'!I25</f>
        <v>1.0671358552326972E-3</v>
      </c>
      <c r="D28" s="140">
        <f>$D$3*'UG SENDOUT Report'!J25</f>
        <v>1.0812811592389353E-3</v>
      </c>
      <c r="E28" s="47"/>
    </row>
    <row r="29" spans="2:5" x14ac:dyDescent="0.2">
      <c r="B29" s="139">
        <f t="shared" si="0"/>
        <v>2047</v>
      </c>
      <c r="C29" s="140">
        <f>$D$3*'UG SENDOUT Report'!I26</f>
        <v>1.1047608165881135E-3</v>
      </c>
      <c r="D29" s="140">
        <f>$D$3*'UG SENDOUT Report'!J26</f>
        <v>1.1191890266744765E-3</v>
      </c>
      <c r="E29" s="47"/>
    </row>
    <row r="30" spans="2:5" x14ac:dyDescent="0.2">
      <c r="B30" s="139">
        <f t="shared" si="0"/>
        <v>2048</v>
      </c>
      <c r="C30" s="140">
        <f>$D$3*'UG SENDOUT Report'!I27</f>
        <v>1.1434639220556486E-3</v>
      </c>
      <c r="D30" s="140">
        <f>$D$3*'UG SENDOUT Report'!J27</f>
        <v>1.1581806963437387E-3</v>
      </c>
      <c r="E30" s="47"/>
    </row>
    <row r="31" spans="2:5" x14ac:dyDescent="0.2">
      <c r="B31" s="139">
        <f t="shared" si="0"/>
        <v>2049</v>
      </c>
      <c r="C31" s="140">
        <f>$D$3*'UG SENDOUT Report'!I28</f>
        <v>1.1832732474152498E-3</v>
      </c>
      <c r="D31" s="140">
        <f>$D$3*'UG SENDOUT Report'!J28</f>
        <v>1.1982843571891018E-3</v>
      </c>
      <c r="E31" s="47"/>
    </row>
    <row r="32" spans="2:5" x14ac:dyDescent="0.2">
      <c r="B32" s="139">
        <f t="shared" si="0"/>
        <v>2050</v>
      </c>
      <c r="C32" s="140">
        <f>$D$3*'UG SENDOUT Report'!I29</f>
        <v>1.2242175602204179E-3</v>
      </c>
      <c r="D32" s="140">
        <f>$D$3*'UG SENDOUT Report'!J29</f>
        <v>1.2395288921897469E-3</v>
      </c>
      <c r="E32" s="47"/>
    </row>
    <row r="33" spans="2:5" x14ac:dyDescent="0.2">
      <c r="B33" s="139">
        <f t="shared" si="0"/>
        <v>2051</v>
      </c>
      <c r="C33" s="140">
        <f>$D$3*'UG SENDOUT Report'!I30</f>
        <v>1.2663263362388212E-3</v>
      </c>
      <c r="D33" s="140">
        <f>$D$3*'UG SENDOUT Report'!J30</f>
        <v>1.2819438948475368E-3</v>
      </c>
      <c r="E33" s="47"/>
    </row>
    <row r="34" spans="2:5" x14ac:dyDescent="0.2">
      <c r="B34" s="139">
        <f t="shared" si="0"/>
        <v>2052</v>
      </c>
      <c r="C34" s="140">
        <f>$D$3*'UG SENDOUT Report'!I31</f>
        <v>1.3096297762738779E-3</v>
      </c>
      <c r="D34" s="140">
        <f>$D$3*'UG SENDOUT Report'!J31</f>
        <v>1.3255596860547679E-3</v>
      </c>
      <c r="E34" s="47"/>
    </row>
    <row r="35" spans="2:5" x14ac:dyDescent="0.2">
      <c r="B35" s="139">
        <f t="shared" si="0"/>
        <v>2053</v>
      </c>
      <c r="C35" s="140">
        <f>$D$3*'UG SENDOUT Report'!I32</f>
        <v>1.3541588233758363E-3</v>
      </c>
      <c r="D35" s="140">
        <f>$D$3*'UG SENDOUT Report'!J32</f>
        <v>1.3704073313523439E-3</v>
      </c>
      <c r="E35" s="47"/>
    </row>
    <row r="36" spans="2:5" x14ac:dyDescent="0.2">
      <c r="B36" s="141">
        <f t="shared" si="0"/>
        <v>2054</v>
      </c>
      <c r="C36" s="142">
        <f>$D$3*'UG SENDOUT Report'!I33</f>
        <v>1.3999451804513686E-3</v>
      </c>
      <c r="D36" s="142">
        <f>$D$3*'UG SENDOUT Report'!J33</f>
        <v>1.4165186585874065E-3</v>
      </c>
      <c r="E36" s="47"/>
    </row>
  </sheetData>
  <mergeCells count="2">
    <mergeCell ref="B5:D5"/>
    <mergeCell ref="F3:F6"/>
  </mergeCells>
  <pageMargins left="0.7" right="0.7" top="0.75" bottom="0.75" header="0.3" footer="0.3"/>
  <pageSetup scale="61"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U46"/>
  <sheetViews>
    <sheetView zoomScaleNormal="100" workbookViewId="0">
      <selection activeCell="P44" sqref="P44"/>
    </sheetView>
  </sheetViews>
  <sheetFormatPr defaultColWidth="9.140625" defaultRowHeight="12.75" x14ac:dyDescent="0.2"/>
  <cols>
    <col min="1" max="1" width="7.140625" style="14" customWidth="1"/>
    <col min="2" max="2" width="13.7109375" style="14" customWidth="1"/>
    <col min="3" max="12" width="12.5703125" style="14" customWidth="1"/>
    <col min="13" max="13" width="13.7109375" style="14" customWidth="1"/>
    <col min="14" max="14" width="9.140625" style="14"/>
    <col min="15" max="15" width="15.28515625" style="14" bestFit="1" customWidth="1"/>
    <col min="16" max="18" width="16" style="14" customWidth="1"/>
    <col min="19" max="16384" width="9.140625" style="14"/>
  </cols>
  <sheetData>
    <row r="1" spans="1:21" ht="12.75" customHeight="1" x14ac:dyDescent="0.2">
      <c r="B1" s="71" t="s">
        <v>0</v>
      </c>
      <c r="E1" s="72"/>
      <c r="P1" s="78"/>
      <c r="Q1" s="78"/>
      <c r="R1" s="78"/>
    </row>
    <row r="2" spans="1:21" ht="12.75" customHeight="1" x14ac:dyDescent="0.2">
      <c r="A2" s="1"/>
      <c r="B2" s="78"/>
      <c r="C2" s="78"/>
      <c r="D2" s="78"/>
      <c r="E2" s="78"/>
      <c r="F2" s="78"/>
      <c r="G2" s="78"/>
      <c r="H2" s="78"/>
      <c r="I2" s="78"/>
      <c r="J2" s="78"/>
      <c r="K2" s="78"/>
      <c r="L2" s="78"/>
      <c r="M2" s="78"/>
      <c r="N2" s="78"/>
      <c r="O2" s="78"/>
      <c r="P2" s="78"/>
      <c r="Q2" s="78"/>
      <c r="R2" s="78"/>
      <c r="S2" s="78"/>
      <c r="T2" s="78"/>
      <c r="U2" s="78"/>
    </row>
    <row r="3" spans="1:21" ht="12.75" customHeight="1" x14ac:dyDescent="0.2">
      <c r="A3" s="1"/>
      <c r="B3" s="80" t="s">
        <v>94</v>
      </c>
      <c r="C3" s="81"/>
      <c r="D3" s="81"/>
      <c r="E3" s="81"/>
      <c r="F3" s="81"/>
      <c r="G3" s="81"/>
      <c r="H3" s="81"/>
      <c r="I3" s="81"/>
      <c r="J3" s="81"/>
      <c r="K3" s="81"/>
      <c r="L3" s="81"/>
      <c r="M3" s="81"/>
      <c r="N3" s="78"/>
      <c r="O3" s="78"/>
      <c r="P3" s="78"/>
      <c r="Q3" s="78"/>
      <c r="R3" s="78"/>
      <c r="S3" s="78"/>
      <c r="T3" s="78"/>
      <c r="U3" s="78"/>
    </row>
    <row r="4" spans="1:21" ht="12.75" customHeight="1" x14ac:dyDescent="0.2">
      <c r="A4" s="1"/>
      <c r="B4" s="86"/>
      <c r="C4" s="86"/>
      <c r="D4" s="86"/>
      <c r="E4" s="86"/>
      <c r="F4" s="86"/>
      <c r="G4" s="86"/>
      <c r="H4" s="86"/>
      <c r="I4" s="86"/>
      <c r="J4" s="86"/>
      <c r="K4" s="86"/>
      <c r="L4" s="86"/>
      <c r="M4" s="87"/>
      <c r="N4" s="78"/>
      <c r="O4" s="78"/>
      <c r="P4" s="78"/>
      <c r="Q4" s="78"/>
      <c r="R4" s="78"/>
      <c r="S4" s="78"/>
      <c r="T4" s="78"/>
      <c r="U4" s="78"/>
    </row>
    <row r="5" spans="1:21" ht="12.75" customHeight="1" x14ac:dyDescent="0.2">
      <c r="A5" s="1"/>
      <c r="B5" s="336"/>
      <c r="C5" s="337" t="s">
        <v>95</v>
      </c>
      <c r="D5" s="338"/>
      <c r="E5" s="338"/>
      <c r="F5" s="338"/>
      <c r="G5" s="338"/>
      <c r="H5" s="338"/>
      <c r="I5" s="338"/>
      <c r="J5" s="338"/>
      <c r="K5" s="338"/>
      <c r="L5" s="408" t="s">
        <v>96</v>
      </c>
      <c r="M5" s="409"/>
      <c r="N5" s="78"/>
      <c r="O5" s="78"/>
      <c r="P5" s="78"/>
      <c r="Q5" s="78"/>
      <c r="R5" s="78"/>
      <c r="S5" s="78"/>
      <c r="T5" s="78"/>
      <c r="U5" s="78"/>
    </row>
    <row r="6" spans="1:21" ht="12.75" customHeight="1" x14ac:dyDescent="0.2">
      <c r="A6" s="1"/>
      <c r="B6" s="88" t="s">
        <v>17</v>
      </c>
      <c r="C6" s="89"/>
      <c r="D6" s="90"/>
      <c r="E6" s="90"/>
      <c r="F6" s="90"/>
      <c r="G6" s="90"/>
      <c r="H6" s="90"/>
      <c r="I6" s="90"/>
      <c r="J6" s="90"/>
      <c r="K6" s="90"/>
      <c r="L6" s="410"/>
      <c r="M6" s="411"/>
      <c r="N6" s="78"/>
      <c r="O6" s="78"/>
      <c r="P6" s="78" t="s">
        <v>97</v>
      </c>
      <c r="Q6" s="78"/>
      <c r="R6" s="78"/>
      <c r="S6" s="78"/>
      <c r="T6" s="78"/>
      <c r="U6" s="78"/>
    </row>
    <row r="7" spans="1:21" ht="12.75" customHeight="1" thickBot="1" x14ac:dyDescent="0.25">
      <c r="A7" s="1"/>
      <c r="B7" s="91"/>
      <c r="C7" s="92" t="s">
        <v>98</v>
      </c>
      <c r="D7" s="93" t="s">
        <v>99</v>
      </c>
      <c r="E7" s="93" t="s">
        <v>100</v>
      </c>
      <c r="F7" s="93" t="s">
        <v>101</v>
      </c>
      <c r="G7" s="93" t="s">
        <v>102</v>
      </c>
      <c r="H7" s="93" t="s">
        <v>103</v>
      </c>
      <c r="I7" s="93" t="s">
        <v>104</v>
      </c>
      <c r="J7" s="93" t="s">
        <v>105</v>
      </c>
      <c r="K7" s="93" t="s">
        <v>106</v>
      </c>
      <c r="L7" s="92" t="s">
        <v>106</v>
      </c>
      <c r="M7" s="94" t="s">
        <v>20</v>
      </c>
      <c r="N7" s="78"/>
      <c r="O7" s="193" t="s">
        <v>17</v>
      </c>
      <c r="P7" s="192" t="s">
        <v>107</v>
      </c>
      <c r="Q7" s="192" t="s">
        <v>108</v>
      </c>
      <c r="R7" s="192" t="s">
        <v>20</v>
      </c>
      <c r="S7" s="78"/>
      <c r="T7" s="78"/>
      <c r="U7" s="78"/>
    </row>
    <row r="8" spans="1:21" ht="12.75" customHeight="1" thickTop="1" x14ac:dyDescent="0.2">
      <c r="B8" s="95">
        <v>2025</v>
      </c>
      <c r="C8" s="84">
        <v>59.177853270504905</v>
      </c>
      <c r="D8" s="85">
        <v>51.374948694684534</v>
      </c>
      <c r="E8" s="85">
        <v>42.273280380725062</v>
      </c>
      <c r="F8" s="85">
        <v>64.65766242251793</v>
      </c>
      <c r="G8" s="85">
        <v>58.143099360009629</v>
      </c>
      <c r="H8" s="85">
        <v>34.112888073815746</v>
      </c>
      <c r="I8" s="85">
        <v>44.942380779059796</v>
      </c>
      <c r="J8" s="85">
        <v>32.896311586146631</v>
      </c>
      <c r="K8" s="85">
        <v>44.097395698633036</v>
      </c>
      <c r="L8" s="84">
        <v>179.155030959752</v>
      </c>
      <c r="M8" s="83" t="s">
        <v>109</v>
      </c>
      <c r="N8" s="78"/>
      <c r="O8" s="339">
        <v>2025</v>
      </c>
      <c r="P8" s="189">
        <f>K8*(1+'General Inputs'!$C$5)^(B8-2024)/1000</f>
        <v>4.4979343612605693E-2</v>
      </c>
      <c r="Q8" s="82">
        <f>L8*(1+'General Inputs'!$C$5)^(B8-2024)</f>
        <v>182.73813157894705</v>
      </c>
      <c r="R8" s="340" t="s">
        <v>21</v>
      </c>
      <c r="S8" s="78"/>
      <c r="T8" s="78"/>
      <c r="U8" s="78"/>
    </row>
    <row r="9" spans="1:21" ht="12.75" customHeight="1" x14ac:dyDescent="0.2">
      <c r="B9" s="95">
        <v>2026</v>
      </c>
      <c r="C9" s="84">
        <v>59.177853270504905</v>
      </c>
      <c r="D9" s="85">
        <v>51.374948694684534</v>
      </c>
      <c r="E9" s="85">
        <v>42.273280380725062</v>
      </c>
      <c r="F9" s="85">
        <v>64.65766242251793</v>
      </c>
      <c r="G9" s="85">
        <v>58.143099360009629</v>
      </c>
      <c r="H9" s="85">
        <v>34.112888073815746</v>
      </c>
      <c r="I9" s="85">
        <v>44.942380779059796</v>
      </c>
      <c r="J9" s="85">
        <v>32.896311586146631</v>
      </c>
      <c r="K9" s="85">
        <v>44.097395698633036</v>
      </c>
      <c r="L9" s="84">
        <v>179.155030959752</v>
      </c>
      <c r="M9" s="83" t="s">
        <v>109</v>
      </c>
      <c r="N9" s="78"/>
      <c r="O9" s="194">
        <v>2026</v>
      </c>
      <c r="P9" s="189">
        <f>K9*(1+'General Inputs'!$C$5)^(B9-2024)/1000</f>
        <v>4.5878930484857812E-2</v>
      </c>
      <c r="Q9" s="82">
        <f>L9*(1+'General Inputs'!$C$5)^(B9-2024)</f>
        <v>186.39289421052598</v>
      </c>
      <c r="R9" s="83" t="s">
        <v>21</v>
      </c>
      <c r="S9" s="78"/>
      <c r="T9" s="78"/>
      <c r="U9" s="78"/>
    </row>
    <row r="10" spans="1:21" x14ac:dyDescent="0.2">
      <c r="B10" s="95">
        <v>2027</v>
      </c>
      <c r="C10" s="84">
        <v>82.705926048715142</v>
      </c>
      <c r="D10" s="85">
        <v>72.808385173146647</v>
      </c>
      <c r="E10" s="85">
        <v>60.840767575165003</v>
      </c>
      <c r="F10" s="85">
        <v>96.940101816273213</v>
      </c>
      <c r="G10" s="85">
        <v>89.175357258150569</v>
      </c>
      <c r="H10" s="85">
        <v>54.555101224126396</v>
      </c>
      <c r="I10" s="85">
        <v>55.692579941796218</v>
      </c>
      <c r="J10" s="85">
        <v>42.04617297425547</v>
      </c>
      <c r="K10" s="85">
        <v>62.623042389207399</v>
      </c>
      <c r="L10" s="84">
        <v>198.68633741244446</v>
      </c>
      <c r="M10" s="83" t="s">
        <v>109</v>
      </c>
      <c r="N10" s="78"/>
      <c r="O10" s="194">
        <v>2027</v>
      </c>
      <c r="P10" s="189">
        <f>K10*(1+'General Inputs'!$C$5)^(B10-2024)/1000</f>
        <v>6.6456073567765991E-2</v>
      </c>
      <c r="Q10" s="82">
        <f>L10*(1+'General Inputs'!$C$5)^(B10-2024)</f>
        <v>210.84753075278533</v>
      </c>
      <c r="R10" s="83" t="s">
        <v>21</v>
      </c>
      <c r="S10" s="78"/>
      <c r="T10" s="78"/>
      <c r="U10" s="78"/>
    </row>
    <row r="11" spans="1:21" x14ac:dyDescent="0.2">
      <c r="B11" s="95">
        <v>2028</v>
      </c>
      <c r="C11" s="84">
        <v>87.998467195208292</v>
      </c>
      <c r="D11" s="85">
        <v>71.964310053746573</v>
      </c>
      <c r="E11" s="85">
        <v>58.341551076721998</v>
      </c>
      <c r="F11" s="85">
        <v>83.845980414598046</v>
      </c>
      <c r="G11" s="85">
        <v>77.171363796156371</v>
      </c>
      <c r="H11" s="85">
        <v>47.844001876404754</v>
      </c>
      <c r="I11" s="85">
        <v>59.854860423711244</v>
      </c>
      <c r="J11" s="85">
        <v>43.172366943213731</v>
      </c>
      <c r="K11" s="85">
        <v>60.117591337449724</v>
      </c>
      <c r="L11" s="84">
        <v>224.31042595392563</v>
      </c>
      <c r="M11" s="83" t="s">
        <v>109</v>
      </c>
      <c r="N11" s="78"/>
      <c r="O11" s="194">
        <v>2028</v>
      </c>
      <c r="P11" s="189">
        <f>K11*(1+'General Inputs'!$C$5)^(B11-2024)/1000</f>
        <v>6.5073214245392988E-2</v>
      </c>
      <c r="Q11" s="82">
        <f>L11*(1+'General Inputs'!$C$5)^(B11-2024)</f>
        <v>242.80081887582779</v>
      </c>
      <c r="R11" s="83" t="s">
        <v>21</v>
      </c>
      <c r="S11" s="78"/>
      <c r="T11" s="78"/>
      <c r="U11" s="78"/>
    </row>
    <row r="12" spans="1:21" x14ac:dyDescent="0.2">
      <c r="B12" s="95">
        <v>2029</v>
      </c>
      <c r="C12" s="84">
        <v>94.703467980446661</v>
      </c>
      <c r="D12" s="85">
        <v>81.589564310608409</v>
      </c>
      <c r="E12" s="85">
        <v>67.738631048987997</v>
      </c>
      <c r="F12" s="85">
        <v>89.482802257999026</v>
      </c>
      <c r="G12" s="85">
        <v>83.200892433975312</v>
      </c>
      <c r="H12" s="85">
        <v>52.359404423565593</v>
      </c>
      <c r="I12" s="85">
        <v>62.229721082527547</v>
      </c>
      <c r="J12" s="85">
        <v>44.776598379732441</v>
      </c>
      <c r="K12" s="85">
        <v>65.435659646336418</v>
      </c>
      <c r="L12" s="84">
        <v>238.63110361041311</v>
      </c>
      <c r="M12" s="83" t="s">
        <v>109</v>
      </c>
      <c r="N12" s="78"/>
      <c r="O12" s="194">
        <v>2029</v>
      </c>
      <c r="P12" s="189">
        <f>K12*(1+'General Inputs'!$C$5)^(B12-2024)/1000</f>
        <v>7.2246255660248948E-2</v>
      </c>
      <c r="Q12" s="82">
        <f>L12*(1+'General Inputs'!$C$5)^(B12-2024)</f>
        <v>263.46802054268733</v>
      </c>
      <c r="R12" s="83" t="s">
        <v>21</v>
      </c>
      <c r="S12" s="78"/>
      <c r="T12" s="78"/>
      <c r="U12" s="78"/>
    </row>
    <row r="13" spans="1:21" x14ac:dyDescent="0.2">
      <c r="B13" s="95">
        <v>2030</v>
      </c>
      <c r="C13" s="84">
        <v>86.77863793861269</v>
      </c>
      <c r="D13" s="85">
        <v>75.59492148896166</v>
      </c>
      <c r="E13" s="85">
        <v>64.626982246195141</v>
      </c>
      <c r="F13" s="85">
        <v>73.592244735337758</v>
      </c>
      <c r="G13" s="85">
        <v>69.394653906962176</v>
      </c>
      <c r="H13" s="85">
        <v>47.017902060872281</v>
      </c>
      <c r="I13" s="85">
        <v>57.266874699225461</v>
      </c>
      <c r="J13" s="85">
        <v>43.780729758794799</v>
      </c>
      <c r="K13" s="85">
        <v>59.754835568626412</v>
      </c>
      <c r="L13" s="84">
        <v>257.85815424114577</v>
      </c>
      <c r="M13" s="83" t="s">
        <v>109</v>
      </c>
      <c r="N13" s="78"/>
      <c r="O13" s="194">
        <v>2030</v>
      </c>
      <c r="P13" s="189">
        <f>K13*(1+'General Inputs'!$C$5)^(B13-2024)/1000</f>
        <v>6.7293650186686843E-2</v>
      </c>
      <c r="Q13" s="82">
        <f>L13*(1+'General Inputs'!$C$5)^(B13-2024)</f>
        <v>290.39016280715839</v>
      </c>
      <c r="R13" s="83" t="s">
        <v>21</v>
      </c>
      <c r="S13" s="78"/>
      <c r="T13" s="78"/>
      <c r="U13" s="78"/>
    </row>
    <row r="14" spans="1:21" x14ac:dyDescent="0.2">
      <c r="B14" s="95">
        <v>2031</v>
      </c>
      <c r="C14" s="84">
        <v>78.783273556245533</v>
      </c>
      <c r="D14" s="85">
        <v>70.075155020330158</v>
      </c>
      <c r="E14" s="85">
        <v>61.127915030813973</v>
      </c>
      <c r="F14" s="85">
        <v>66.82086124171559</v>
      </c>
      <c r="G14" s="85">
        <v>63.21627170458288</v>
      </c>
      <c r="H14" s="85">
        <v>44.603664249887743</v>
      </c>
      <c r="I14" s="85">
        <v>46.510541208998042</v>
      </c>
      <c r="J14" s="85">
        <v>39.345509147457214</v>
      </c>
      <c r="K14" s="85">
        <v>54.317289114003664</v>
      </c>
      <c r="L14" s="84">
        <v>305.24334969838844</v>
      </c>
      <c r="M14" s="83" t="s">
        <v>109</v>
      </c>
      <c r="N14" s="78"/>
      <c r="O14" s="194">
        <v>2031</v>
      </c>
      <c r="P14" s="189">
        <f>K14*(1+'General Inputs'!$C$5)^(B14-2024)/1000</f>
        <v>6.2393491510818258E-2</v>
      </c>
      <c r="Q14" s="82">
        <f>L14*(1+'General Inputs'!$C$5)^(B14-2024)</f>
        <v>350.62866094379592</v>
      </c>
      <c r="R14" s="83" t="s">
        <v>21</v>
      </c>
      <c r="S14" s="78"/>
      <c r="T14" s="78"/>
      <c r="U14" s="78"/>
    </row>
    <row r="15" spans="1:21" x14ac:dyDescent="0.2">
      <c r="B15" s="95">
        <v>2032</v>
      </c>
      <c r="C15" s="84">
        <v>72.599079993706525</v>
      </c>
      <c r="D15" s="85">
        <v>66.739537553750964</v>
      </c>
      <c r="E15" s="85">
        <v>59.846300918215071</v>
      </c>
      <c r="F15" s="85">
        <v>48.515096552225785</v>
      </c>
      <c r="G15" s="85">
        <v>46.989387452608476</v>
      </c>
      <c r="H15" s="85">
        <v>35.891056585390842</v>
      </c>
      <c r="I15" s="85">
        <v>37.632421223720783</v>
      </c>
      <c r="J15" s="85">
        <v>31.259756931827106</v>
      </c>
      <c r="K15" s="85">
        <v>46.474522957050993</v>
      </c>
      <c r="L15" s="84">
        <v>334.04499521522996</v>
      </c>
      <c r="M15" s="83" t="s">
        <v>109</v>
      </c>
      <c r="N15" s="78"/>
      <c r="O15" s="194">
        <v>2032</v>
      </c>
      <c r="P15" s="189">
        <f>K15*(1+'General Inputs'!$C$5)^(B15-2024)/1000</f>
        <v>5.4452310800233945E-2</v>
      </c>
      <c r="Q15" s="82">
        <f>L15*(1+'General Inputs'!$C$5)^(B15-2024)</f>
        <v>391.38695232078106</v>
      </c>
      <c r="R15" s="83" t="s">
        <v>21</v>
      </c>
      <c r="S15" s="78"/>
      <c r="T15" s="78"/>
      <c r="U15" s="78"/>
    </row>
    <row r="16" spans="1:21" x14ac:dyDescent="0.2">
      <c r="B16" s="95">
        <v>2033</v>
      </c>
      <c r="C16" s="84">
        <v>61.624035770765616</v>
      </c>
      <c r="D16" s="85">
        <v>55.555319922192446</v>
      </c>
      <c r="E16" s="85">
        <v>49.518443580936378</v>
      </c>
      <c r="F16" s="85">
        <v>44.423964330175217</v>
      </c>
      <c r="G16" s="85">
        <v>43.447034328056958</v>
      </c>
      <c r="H16" s="85">
        <v>32.320445108165714</v>
      </c>
      <c r="I16" s="85">
        <v>32.70626389101367</v>
      </c>
      <c r="J16" s="85">
        <v>27.699945303794969</v>
      </c>
      <c r="K16" s="85">
        <v>40.256080878448465</v>
      </c>
      <c r="L16" s="84">
        <v>332.82410424430168</v>
      </c>
      <c r="M16" s="83" t="s">
        <v>109</v>
      </c>
      <c r="N16" s="78"/>
      <c r="O16" s="194">
        <v>2033</v>
      </c>
      <c r="P16" s="189">
        <f>K16*(1+'General Inputs'!$C$5)^(B16-2024)/1000</f>
        <v>4.8109743099692466E-2</v>
      </c>
      <c r="Q16" s="82">
        <f>L16*(1+'General Inputs'!$C$5)^(B16-2024)</f>
        <v>397.75561364074224</v>
      </c>
      <c r="R16" s="83" t="s">
        <v>21</v>
      </c>
      <c r="S16" s="78"/>
      <c r="T16" s="78"/>
      <c r="U16" s="78"/>
    </row>
    <row r="17" spans="2:21" x14ac:dyDescent="0.2">
      <c r="B17" s="95">
        <v>2034</v>
      </c>
      <c r="C17" s="84">
        <v>44.226400337971704</v>
      </c>
      <c r="D17" s="85">
        <v>41.858228037265533</v>
      </c>
      <c r="E17" s="85">
        <v>37.67500687118914</v>
      </c>
      <c r="F17" s="85">
        <v>32.98160139672278</v>
      </c>
      <c r="G17" s="85">
        <v>32.5477768243017</v>
      </c>
      <c r="H17" s="85">
        <v>26.407854180624472</v>
      </c>
      <c r="I17" s="85">
        <v>32.877572590352855</v>
      </c>
      <c r="J17" s="85">
        <v>28.488543951824408</v>
      </c>
      <c r="K17" s="85">
        <v>33.211598922955417</v>
      </c>
      <c r="L17" s="84">
        <v>327.08943435501862</v>
      </c>
      <c r="M17" s="83" t="s">
        <v>109</v>
      </c>
      <c r="N17" s="78"/>
      <c r="O17" s="194">
        <v>2034</v>
      </c>
      <c r="P17" s="189">
        <f>K17*(1+'General Inputs'!$C$5)^(B17-2024)/1000</f>
        <v>4.0484753766186536E-2</v>
      </c>
      <c r="Q17" s="82">
        <f>L17*(1+'General Inputs'!$C$5)^(B17-2024)</f>
        <v>398.72019531800913</v>
      </c>
      <c r="R17" s="83" t="s">
        <v>21</v>
      </c>
      <c r="S17" s="78"/>
      <c r="T17" s="78"/>
      <c r="U17" s="78"/>
    </row>
    <row r="18" spans="2:21" x14ac:dyDescent="0.2">
      <c r="B18" s="95">
        <v>2035</v>
      </c>
      <c r="C18" s="84">
        <v>43.117782479352535</v>
      </c>
      <c r="D18" s="85">
        <v>41.601825884122334</v>
      </c>
      <c r="E18" s="85">
        <v>35.651996985187516</v>
      </c>
      <c r="F18" s="85">
        <v>27.501742473200807</v>
      </c>
      <c r="G18" s="85">
        <v>27.14301493839401</v>
      </c>
      <c r="H18" s="85">
        <v>22.23313365517588</v>
      </c>
      <c r="I18" s="85">
        <v>23.331825068127397</v>
      </c>
      <c r="J18" s="85">
        <v>20.743299864243241</v>
      </c>
      <c r="K18" s="85">
        <v>28.302604240901289</v>
      </c>
      <c r="L18" s="84">
        <v>322.49592928371271</v>
      </c>
      <c r="M18" s="83" t="s">
        <v>109</v>
      </c>
      <c r="N18" s="78"/>
      <c r="O18" s="194">
        <v>2035</v>
      </c>
      <c r="P18" s="189">
        <f>K18*(1+'General Inputs'!$C$5)^(B18-2024)/1000</f>
        <v>3.5190730973798184E-2</v>
      </c>
      <c r="Q18" s="82">
        <f>L18*(1+'General Inputs'!$C$5)^(B18-2024)</f>
        <v>400.98315303322687</v>
      </c>
      <c r="R18" s="83" t="s">
        <v>21</v>
      </c>
      <c r="S18" s="78"/>
      <c r="T18" s="78"/>
      <c r="U18" s="78"/>
    </row>
    <row r="19" spans="2:21" x14ac:dyDescent="0.2">
      <c r="B19" s="95">
        <v>2036</v>
      </c>
      <c r="C19" s="84">
        <v>48.942043234022776</v>
      </c>
      <c r="D19" s="85">
        <v>46.102012951826097</v>
      </c>
      <c r="E19" s="85">
        <v>40.572931421374221</v>
      </c>
      <c r="F19" s="85">
        <v>31.956143040723333</v>
      </c>
      <c r="G19" s="85">
        <v>31.899725873600623</v>
      </c>
      <c r="H19" s="85">
        <v>26.351625742823352</v>
      </c>
      <c r="I19" s="85">
        <v>23.441324581743267</v>
      </c>
      <c r="J19" s="85">
        <v>21.458846618802571</v>
      </c>
      <c r="K19" s="85">
        <v>31.613309053300778</v>
      </c>
      <c r="L19" s="84">
        <v>314.98984280785078</v>
      </c>
      <c r="M19" s="83" t="s">
        <v>109</v>
      </c>
      <c r="N19" s="78"/>
      <c r="O19" s="194">
        <v>2036</v>
      </c>
      <c r="P19" s="189">
        <f>K19*(1+'General Inputs'!$C$5)^(B19-2024)/1000</f>
        <v>4.0093319805818539E-2</v>
      </c>
      <c r="Q19" s="82">
        <f>L19*(1+'General Inputs'!$C$5)^(B19-2024)</f>
        <v>399.48328351160274</v>
      </c>
      <c r="R19" s="83" t="s">
        <v>21</v>
      </c>
      <c r="S19" s="78"/>
      <c r="T19" s="78"/>
      <c r="U19" s="78"/>
    </row>
    <row r="20" spans="2:21" x14ac:dyDescent="0.2">
      <c r="B20" s="95">
        <v>2037</v>
      </c>
      <c r="C20" s="84">
        <v>50.645040257312509</v>
      </c>
      <c r="D20" s="85">
        <v>47.448553988960157</v>
      </c>
      <c r="E20" s="85">
        <v>43.290248622513822</v>
      </c>
      <c r="F20" s="85">
        <v>28.771115001792595</v>
      </c>
      <c r="G20" s="85">
        <v>28.708555822083767</v>
      </c>
      <c r="H20" s="85">
        <v>24.282497754456767</v>
      </c>
      <c r="I20" s="85">
        <v>28.118424016345035</v>
      </c>
      <c r="J20" s="85">
        <v>24.71791933905839</v>
      </c>
      <c r="K20" s="85">
        <v>32.74240077854855</v>
      </c>
      <c r="L20" s="84">
        <v>314.48508568154261</v>
      </c>
      <c r="M20" s="83" t="s">
        <v>109</v>
      </c>
      <c r="N20" s="78"/>
      <c r="O20" s="194">
        <v>2037</v>
      </c>
      <c r="P20" s="189">
        <f>K20*(1+'General Inputs'!$C$5)^(B20-2024)/1000</f>
        <v>4.2355786744105943E-2</v>
      </c>
      <c r="Q20" s="82">
        <f>L20*(1+'General Inputs'!$C$5)^(B20-2024)</f>
        <v>406.81999201647369</v>
      </c>
      <c r="R20" s="83" t="s">
        <v>21</v>
      </c>
      <c r="S20" s="78"/>
      <c r="T20" s="78"/>
      <c r="U20" s="78"/>
    </row>
    <row r="21" spans="2:21" x14ac:dyDescent="0.2">
      <c r="B21" s="95">
        <v>2038</v>
      </c>
      <c r="C21" s="84">
        <v>56.159204912958394</v>
      </c>
      <c r="D21" s="85">
        <v>52.450178704948257</v>
      </c>
      <c r="E21" s="85">
        <v>46.687596507577631</v>
      </c>
      <c r="F21" s="85">
        <v>36.891138842157524</v>
      </c>
      <c r="G21" s="85">
        <v>37.262435462320752</v>
      </c>
      <c r="H21" s="85">
        <v>30.866452924100862</v>
      </c>
      <c r="I21" s="85">
        <v>27.777202783455287</v>
      </c>
      <c r="J21" s="85">
        <v>23.182394396892771</v>
      </c>
      <c r="K21" s="85">
        <v>36.27725195157435</v>
      </c>
      <c r="L21" s="84">
        <v>320.33019997545722</v>
      </c>
      <c r="M21" s="83" t="s">
        <v>109</v>
      </c>
      <c r="N21" s="78"/>
      <c r="O21" s="194">
        <v>2038</v>
      </c>
      <c r="P21" s="189">
        <f>K21*(1+'General Inputs'!$C$5)^(B21-2024)/1000</f>
        <v>4.7867063532383493E-2</v>
      </c>
      <c r="Q21" s="82">
        <f>L21*(1+'General Inputs'!$C$5)^(B21-2024)</f>
        <v>422.66889603529876</v>
      </c>
      <c r="R21" s="83" t="s">
        <v>21</v>
      </c>
      <c r="S21" s="78"/>
      <c r="T21" s="78"/>
      <c r="U21" s="78"/>
    </row>
    <row r="22" spans="2:21" x14ac:dyDescent="0.2">
      <c r="B22" s="95">
        <v>2039</v>
      </c>
      <c r="C22" s="84">
        <v>71.482485326466346</v>
      </c>
      <c r="D22" s="85">
        <v>68.69907771313602</v>
      </c>
      <c r="E22" s="85">
        <v>60.553023468470613</v>
      </c>
      <c r="F22" s="85">
        <v>43.221431617110447</v>
      </c>
      <c r="G22" s="85">
        <v>43.427219651577936</v>
      </c>
      <c r="H22" s="85">
        <v>33.856378277932372</v>
      </c>
      <c r="I22" s="85">
        <v>31.333289788045185</v>
      </c>
      <c r="J22" s="85">
        <v>26.620855873803805</v>
      </c>
      <c r="K22" s="85">
        <v>43.802652669857316</v>
      </c>
      <c r="L22" s="84">
        <v>320.33019997545722</v>
      </c>
      <c r="M22" s="83" t="s">
        <v>110</v>
      </c>
      <c r="N22" s="78"/>
      <c r="O22" s="194">
        <v>2039</v>
      </c>
      <c r="P22" s="189">
        <f>K22*(1+'General Inputs'!$C$5)^(B22-2024)/1000</f>
        <v>5.8952603362969848E-2</v>
      </c>
      <c r="Q22" s="82">
        <f>L22*(1+'General Inputs'!$C$5)^(B22-2024)</f>
        <v>431.12227395600462</v>
      </c>
      <c r="R22" s="83" t="s">
        <v>22</v>
      </c>
      <c r="S22" s="78"/>
      <c r="T22" s="78"/>
      <c r="U22" s="78"/>
    </row>
    <row r="23" spans="2:21" x14ac:dyDescent="0.2">
      <c r="B23" s="95">
        <v>2040</v>
      </c>
      <c r="C23" s="84">
        <v>68.18281036071987</v>
      </c>
      <c r="D23" s="85">
        <v>65.229019523664306</v>
      </c>
      <c r="E23" s="85">
        <v>54.378152325852902</v>
      </c>
      <c r="F23" s="85">
        <v>39.600275176856044</v>
      </c>
      <c r="G23" s="85">
        <v>39.736153043721671</v>
      </c>
      <c r="H23" s="85">
        <v>31.348458291198778</v>
      </c>
      <c r="I23" s="85">
        <v>33.292286264402144</v>
      </c>
      <c r="J23" s="85">
        <v>28.296955417404632</v>
      </c>
      <c r="K23" s="85">
        <v>41.786837665091738</v>
      </c>
      <c r="L23" s="84">
        <v>325.55817196119676</v>
      </c>
      <c r="M23" s="83" t="s">
        <v>109</v>
      </c>
      <c r="N23" s="78"/>
      <c r="O23" s="194">
        <v>2040</v>
      </c>
      <c r="P23" s="189">
        <f>K23*(1+'General Inputs'!$C$5)^(B23-2024)/1000</f>
        <v>5.7364373407579904E-2</v>
      </c>
      <c r="Q23" s="82">
        <f>L23*(1+'General Inputs'!$C$5)^(B23-2024)</f>
        <v>446.92160464376224</v>
      </c>
      <c r="R23" s="83" t="s">
        <v>21</v>
      </c>
      <c r="S23" s="78"/>
      <c r="T23" s="78"/>
      <c r="U23" s="78"/>
    </row>
    <row r="24" spans="2:21" x14ac:dyDescent="0.2">
      <c r="B24" s="95">
        <v>2041</v>
      </c>
      <c r="C24" s="84">
        <v>67.817893719021356</v>
      </c>
      <c r="D24" s="85">
        <v>65.882506404625829</v>
      </c>
      <c r="E24" s="85">
        <v>54.238530994686975</v>
      </c>
      <c r="F24" s="85">
        <v>51.696956325838926</v>
      </c>
      <c r="G24" s="85">
        <v>51.149946453476069</v>
      </c>
      <c r="H24" s="85">
        <v>38.611556865872075</v>
      </c>
      <c r="I24" s="85">
        <v>32.628673868025359</v>
      </c>
      <c r="J24" s="85">
        <v>27.30623004966322</v>
      </c>
      <c r="K24" s="85">
        <v>44.550690376599015</v>
      </c>
      <c r="L24" s="84">
        <v>331.3032396767436</v>
      </c>
      <c r="M24" s="83" t="s">
        <v>109</v>
      </c>
      <c r="N24" s="78"/>
      <c r="O24" s="194">
        <v>2041</v>
      </c>
      <c r="P24" s="189">
        <f>K24*(1+'General Inputs'!$C$5)^(B24-2024)/1000</f>
        <v>6.2381721918931293E-2</v>
      </c>
      <c r="Q24" s="82">
        <f>L24*(1+'General Inputs'!$C$5)^(B24-2024)</f>
        <v>463.90451850801139</v>
      </c>
      <c r="R24" s="83" t="s">
        <v>21</v>
      </c>
      <c r="S24" s="78"/>
      <c r="T24" s="78"/>
      <c r="U24" s="78"/>
    </row>
    <row r="25" spans="2:21" x14ac:dyDescent="0.2">
      <c r="B25" s="95">
        <v>2042</v>
      </c>
      <c r="C25" s="84">
        <v>67.813647182061189</v>
      </c>
      <c r="D25" s="85">
        <v>65.829727219942612</v>
      </c>
      <c r="E25" s="85">
        <v>54.614744413898428</v>
      </c>
      <c r="F25" s="85">
        <v>50.266100310437601</v>
      </c>
      <c r="G25" s="85">
        <v>48.730947622866466</v>
      </c>
      <c r="H25" s="85">
        <v>38.48806240479712</v>
      </c>
      <c r="I25" s="85">
        <v>32.793199486923143</v>
      </c>
      <c r="J25" s="85">
        <v>28.774533144718379</v>
      </c>
      <c r="K25" s="85">
        <v>44.612161170642715</v>
      </c>
      <c r="L25" s="84">
        <v>336.60030914077936</v>
      </c>
      <c r="M25" s="83" t="s">
        <v>109</v>
      </c>
      <c r="N25" s="78"/>
      <c r="O25" s="194">
        <v>2042</v>
      </c>
      <c r="P25" s="189">
        <f>K25*(1+'General Inputs'!$C$5)^(B25-2024)/1000</f>
        <v>6.3717151788238349E-2</v>
      </c>
      <c r="Q25" s="82">
        <f>L25*(1+'General Inputs'!$C$5)^(B25-2024)</f>
        <v>480.74812846333151</v>
      </c>
      <c r="R25" s="83" t="s">
        <v>21</v>
      </c>
      <c r="S25" s="78"/>
      <c r="T25" s="78"/>
      <c r="U25" s="78"/>
    </row>
    <row r="26" spans="2:21" x14ac:dyDescent="0.2">
      <c r="B26" s="95">
        <v>2043</v>
      </c>
      <c r="C26" s="84">
        <v>78.068687639535469</v>
      </c>
      <c r="D26" s="85">
        <v>77.026690351465163</v>
      </c>
      <c r="E26" s="85">
        <v>70.896381013436852</v>
      </c>
      <c r="F26" s="85">
        <v>57.696314775368705</v>
      </c>
      <c r="G26" s="85">
        <v>56.214870493137568</v>
      </c>
      <c r="H26" s="85">
        <v>45.264209105971553</v>
      </c>
      <c r="I26" s="85">
        <v>41.756857868937537</v>
      </c>
      <c r="J26" s="85">
        <v>32.71223572637853</v>
      </c>
      <c r="K26" s="85">
        <v>53.622989628160006</v>
      </c>
      <c r="L26" s="84">
        <v>352.68823694976174</v>
      </c>
      <c r="M26" s="83" t="s">
        <v>110</v>
      </c>
      <c r="N26" s="78"/>
      <c r="O26" s="194">
        <v>2043</v>
      </c>
      <c r="P26" s="189">
        <f>K26*(1+'General Inputs'!$C$5)^(B26-2024)/1000</f>
        <v>7.8118570394645731E-2</v>
      </c>
      <c r="Q26" s="82">
        <f>L26*(1+'General Inputs'!$C$5)^(B26-2024)</f>
        <v>513.80016400754425</v>
      </c>
      <c r="R26" s="83" t="s">
        <v>22</v>
      </c>
      <c r="S26" s="78"/>
      <c r="T26" s="78"/>
      <c r="U26" s="78"/>
    </row>
    <row r="27" spans="2:21" x14ac:dyDescent="0.2">
      <c r="B27" s="95">
        <v>2044</v>
      </c>
      <c r="C27" s="84">
        <v>63.093873295499783</v>
      </c>
      <c r="D27" s="85">
        <v>61.612766701425528</v>
      </c>
      <c r="E27" s="85">
        <v>56.836359359690015</v>
      </c>
      <c r="F27" s="85">
        <v>61.928033046264567</v>
      </c>
      <c r="G27" s="85">
        <v>60.20941927554103</v>
      </c>
      <c r="H27" s="85">
        <v>50.179696840729065</v>
      </c>
      <c r="I27" s="85">
        <v>36.895390526935302</v>
      </c>
      <c r="J27" s="85">
        <v>27.151419182608883</v>
      </c>
      <c r="K27" s="85">
        <v>48.576270279751455</v>
      </c>
      <c r="L27" s="84">
        <v>367.15482465954238</v>
      </c>
      <c r="M27" s="83" t="s">
        <v>110</v>
      </c>
      <c r="N27" s="78"/>
      <c r="O27" s="194">
        <v>2044</v>
      </c>
      <c r="P27" s="189">
        <f>K27*(1+'General Inputs'!$C$5)^(B27-2024)/1000</f>
        <v>7.2181782328537392E-2</v>
      </c>
      <c r="Q27" s="82">
        <f>L27*(1+'General Inputs'!$C$5)^(B27-2024)</f>
        <v>545.57275562373627</v>
      </c>
      <c r="R27" s="83" t="s">
        <v>22</v>
      </c>
      <c r="S27" s="78"/>
      <c r="T27" s="78"/>
      <c r="U27" s="78"/>
    </row>
    <row r="28" spans="2:21" x14ac:dyDescent="0.2">
      <c r="B28" s="96">
        <v>2045</v>
      </c>
      <c r="C28" s="85">
        <v>61.888424081599432</v>
      </c>
      <c r="D28" s="85">
        <v>59.908855134246068</v>
      </c>
      <c r="E28" s="85">
        <v>47.945077354902494</v>
      </c>
      <c r="F28" s="85">
        <v>53.886936694682184</v>
      </c>
      <c r="G28" s="85">
        <v>52.854907163991797</v>
      </c>
      <c r="H28" s="85">
        <v>41.844664594740188</v>
      </c>
      <c r="I28" s="85">
        <v>35.228182073861561</v>
      </c>
      <c r="J28" s="85">
        <v>25.758372796348159</v>
      </c>
      <c r="K28" s="85">
        <v>43.500497606900929</v>
      </c>
      <c r="L28" s="84">
        <v>381.79342323706635</v>
      </c>
      <c r="M28" s="83" t="s">
        <v>109</v>
      </c>
      <c r="N28" s="78"/>
      <c r="O28" s="194">
        <v>2045</v>
      </c>
      <c r="P28" s="189">
        <f>K28*(1+'General Inputs'!$C$5)^(B28-2024)/1000</f>
        <v>6.5932240165591807E-2</v>
      </c>
      <c r="Q28" s="82">
        <f>L28*(1+'General Inputs'!$C$5)^(B28-2024)</f>
        <v>578.67144192199601</v>
      </c>
      <c r="R28" s="83" t="s">
        <v>21</v>
      </c>
      <c r="S28" s="78"/>
      <c r="T28" s="78"/>
      <c r="U28" s="78"/>
    </row>
    <row r="29" spans="2:21" x14ac:dyDescent="0.2">
      <c r="B29" s="96">
        <v>2046</v>
      </c>
      <c r="C29" s="85">
        <v>52.333297219705841</v>
      </c>
      <c r="D29" s="85">
        <v>51.236899577329446</v>
      </c>
      <c r="E29" s="85">
        <v>41.278875462975414</v>
      </c>
      <c r="F29" s="85">
        <v>41.402353432160268</v>
      </c>
      <c r="G29" s="85">
        <v>37.588777385369305</v>
      </c>
      <c r="H29" s="85">
        <v>27.972642876495694</v>
      </c>
      <c r="I29" s="85">
        <v>30.97017254463184</v>
      </c>
      <c r="J29" s="85">
        <v>24.181290832605434</v>
      </c>
      <c r="K29" s="85">
        <v>35.333587965194326</v>
      </c>
      <c r="L29" s="84">
        <v>396.30859281641801</v>
      </c>
      <c r="M29" s="83" t="s">
        <v>109</v>
      </c>
      <c r="N29" s="78"/>
      <c r="O29" s="194">
        <v>2046</v>
      </c>
      <c r="P29" s="189">
        <f>K29*(1+'General Inputs'!$C$5)^(B29-2024)/1000</f>
        <v>5.4625008689761709E-2</v>
      </c>
      <c r="Q29" s="82">
        <f>L29*(1+'General Inputs'!$C$5)^(B29-2024)</f>
        <v>612.68502784797806</v>
      </c>
      <c r="R29" s="83" t="s">
        <v>21</v>
      </c>
      <c r="S29" s="78"/>
      <c r="T29" s="78"/>
      <c r="U29" s="78"/>
    </row>
    <row r="30" spans="2:21" x14ac:dyDescent="0.2">
      <c r="B30" s="96">
        <v>2047</v>
      </c>
      <c r="C30" s="85">
        <v>37.929902623726392</v>
      </c>
      <c r="D30" s="85">
        <v>37.401081843943729</v>
      </c>
      <c r="E30" s="85">
        <v>30.630239764888106</v>
      </c>
      <c r="F30" s="85">
        <v>40.881811307372423</v>
      </c>
      <c r="G30" s="85">
        <v>38.1159987385916</v>
      </c>
      <c r="H30" s="85">
        <v>27.488309911256515</v>
      </c>
      <c r="I30" s="85">
        <v>25.509871830709564</v>
      </c>
      <c r="J30" s="85">
        <v>20.552125323343052</v>
      </c>
      <c r="K30" s="85">
        <v>29.728403709548054</v>
      </c>
      <c r="L30" s="84">
        <v>409.21181618054129</v>
      </c>
      <c r="M30" s="83" t="s">
        <v>109</v>
      </c>
      <c r="N30" s="78"/>
      <c r="O30" s="194">
        <v>2047</v>
      </c>
      <c r="P30" s="189">
        <f>K30*(1+'General Inputs'!$C$5)^(B30-2024)/1000</f>
        <v>4.6878697935171125E-2</v>
      </c>
      <c r="Q30" s="82">
        <f>L30*(1+'General Inputs'!$C$5)^(B30-2024)</f>
        <v>645.28581183352082</v>
      </c>
      <c r="R30" s="83" t="s">
        <v>21</v>
      </c>
      <c r="S30" s="78"/>
      <c r="T30" s="78"/>
      <c r="U30" s="78"/>
    </row>
    <row r="31" spans="2:21" x14ac:dyDescent="0.2">
      <c r="B31" s="96">
        <v>2048</v>
      </c>
      <c r="C31" s="85">
        <v>32.859918819405969</v>
      </c>
      <c r="D31" s="85">
        <v>31.924744994915375</v>
      </c>
      <c r="E31" s="85">
        <v>26.070441468274094</v>
      </c>
      <c r="F31" s="85">
        <v>38.564216342278769</v>
      </c>
      <c r="G31" s="85">
        <v>35.214594731675454</v>
      </c>
      <c r="H31" s="85">
        <v>25.68645630722402</v>
      </c>
      <c r="I31" s="85">
        <v>20.563214716071755</v>
      </c>
      <c r="J31" s="85">
        <v>17.878768300274928</v>
      </c>
      <c r="K31" s="85">
        <v>26.184614846080205</v>
      </c>
      <c r="L31" s="84">
        <v>420.66462200713613</v>
      </c>
      <c r="M31" s="83" t="s">
        <v>109</v>
      </c>
      <c r="N31" s="78"/>
      <c r="O31" s="194">
        <v>2048</v>
      </c>
      <c r="P31" s="189">
        <f>K31*(1+'General Inputs'!$C$5)^(B31-2024)/1000</f>
        <v>4.211630988159739E-2</v>
      </c>
      <c r="Q31" s="82">
        <f>L31*(1+'General Inputs'!$C$5)^(B31-2024)</f>
        <v>676.61264757269328</v>
      </c>
      <c r="R31" s="83" t="s">
        <v>21</v>
      </c>
      <c r="S31" s="78"/>
      <c r="T31" s="78"/>
      <c r="U31" s="78"/>
    </row>
    <row r="32" spans="2:21" x14ac:dyDescent="0.2">
      <c r="B32" s="96">
        <v>2049</v>
      </c>
      <c r="C32" s="85">
        <v>29.180225985473268</v>
      </c>
      <c r="D32" s="85">
        <v>28.740907364758286</v>
      </c>
      <c r="E32" s="85">
        <v>24.008686919534753</v>
      </c>
      <c r="F32" s="85">
        <v>30.011994636710419</v>
      </c>
      <c r="G32" s="85">
        <v>28.170202729703906</v>
      </c>
      <c r="H32" s="85">
        <v>21.74091173170266</v>
      </c>
      <c r="I32" s="85">
        <v>19.065568790665786</v>
      </c>
      <c r="J32" s="85">
        <v>16.089147961515071</v>
      </c>
      <c r="K32" s="85">
        <v>22.857242857416452</v>
      </c>
      <c r="L32" s="84">
        <v>430.80765252319929</v>
      </c>
      <c r="M32" s="83" t="s">
        <v>109</v>
      </c>
      <c r="N32" s="78"/>
      <c r="O32" s="194">
        <v>2049</v>
      </c>
      <c r="P32" s="189">
        <f>K32*(1+'General Inputs'!$C$5)^(B32-2024)/1000</f>
        <v>3.7499729648813554E-2</v>
      </c>
      <c r="Q32" s="82">
        <f>L32*(1+'General Inputs'!$C$5)^(B32-2024)</f>
        <v>706.78561719083905</v>
      </c>
      <c r="R32" s="83" t="s">
        <v>21</v>
      </c>
      <c r="S32" s="78"/>
      <c r="T32" s="78"/>
      <c r="U32" s="78"/>
    </row>
    <row r="33" spans="2:21" x14ac:dyDescent="0.2">
      <c r="B33" s="96">
        <v>2050</v>
      </c>
      <c r="C33" s="85">
        <v>25.254560121580766</v>
      </c>
      <c r="D33" s="85">
        <v>24.550022026143477</v>
      </c>
      <c r="E33" s="85">
        <v>20.20817846666354</v>
      </c>
      <c r="F33" s="85">
        <v>32.817823092468615</v>
      </c>
      <c r="G33" s="85">
        <v>30.075767150291238</v>
      </c>
      <c r="H33" s="85">
        <v>21.56936748441035</v>
      </c>
      <c r="I33" s="85">
        <v>16.58073163464789</v>
      </c>
      <c r="J33" s="85">
        <v>15.313012224496694</v>
      </c>
      <c r="K33" s="85">
        <v>21.348502204974952</v>
      </c>
      <c r="L33" s="84">
        <v>439.76393369581399</v>
      </c>
      <c r="M33" s="83" t="s">
        <v>109</v>
      </c>
      <c r="N33" s="78"/>
      <c r="O33" s="194">
        <v>2050</v>
      </c>
      <c r="P33" s="189">
        <f>K33*(1+'General Inputs'!$C$5)^(B33-2024)/1000</f>
        <v>3.5724970304131916E-2</v>
      </c>
      <c r="Q33" s="82">
        <f>L33*(1+'General Inputs'!$C$5)^(B33-2024)</f>
        <v>735.90893268615719</v>
      </c>
      <c r="R33" s="83" t="s">
        <v>21</v>
      </c>
      <c r="S33" s="78"/>
      <c r="T33" s="78"/>
      <c r="U33" s="78"/>
    </row>
    <row r="34" spans="2:21" x14ac:dyDescent="0.2">
      <c r="B34" s="96">
        <v>2051</v>
      </c>
      <c r="C34" s="78"/>
      <c r="D34" s="78"/>
      <c r="E34" s="78"/>
      <c r="F34" s="78"/>
      <c r="G34" s="78"/>
      <c r="H34" s="78"/>
      <c r="I34" s="78"/>
      <c r="J34" s="78"/>
      <c r="K34" s="85">
        <v>21.348502204974952</v>
      </c>
      <c r="L34" s="84">
        <v>439.76393369581399</v>
      </c>
      <c r="M34" s="83" t="s">
        <v>109</v>
      </c>
      <c r="N34" s="78"/>
      <c r="O34" s="194">
        <v>2051</v>
      </c>
      <c r="P34" s="189">
        <f>K34*(1+'General Inputs'!$C$5)^(B34-2024)/1000</f>
        <v>3.6439469710214549E-2</v>
      </c>
      <c r="Q34" s="82">
        <f>L34*(1+'General Inputs'!$C$5)^(B34-2024)</f>
        <v>750.62711133988023</v>
      </c>
      <c r="R34" s="83" t="s">
        <v>21</v>
      </c>
      <c r="S34" s="78"/>
      <c r="T34" s="78"/>
      <c r="U34" s="78"/>
    </row>
    <row r="35" spans="2:21" x14ac:dyDescent="0.2">
      <c r="B35" s="96">
        <v>2052</v>
      </c>
      <c r="C35" s="78"/>
      <c r="D35" s="78"/>
      <c r="E35" s="78"/>
      <c r="F35" s="78"/>
      <c r="G35" s="78"/>
      <c r="H35" s="78"/>
      <c r="I35" s="78"/>
      <c r="J35" s="78"/>
      <c r="K35" s="85">
        <v>21.348502204974952</v>
      </c>
      <c r="L35" s="84">
        <v>439.76393369581399</v>
      </c>
      <c r="M35" s="83" t="s">
        <v>109</v>
      </c>
      <c r="N35" s="78"/>
      <c r="O35" s="194">
        <v>2052</v>
      </c>
      <c r="P35" s="189">
        <f>K35*(1+'General Inputs'!$C$5)^(B35-2024)/1000</f>
        <v>3.7168259104418844E-2</v>
      </c>
      <c r="Q35" s="82">
        <f>L35*(1+'General Inputs'!$C$5)^(B35-2024)</f>
        <v>765.63965356667802</v>
      </c>
      <c r="R35" s="83" t="s">
        <v>21</v>
      </c>
      <c r="S35" s="78"/>
      <c r="T35" s="78"/>
      <c r="U35" s="78"/>
    </row>
    <row r="36" spans="2:21" x14ac:dyDescent="0.2">
      <c r="B36" s="96">
        <v>2053</v>
      </c>
      <c r="C36" s="78"/>
      <c r="D36" s="78"/>
      <c r="E36" s="78"/>
      <c r="F36" s="78"/>
      <c r="G36" s="78"/>
      <c r="H36" s="78"/>
      <c r="I36" s="78"/>
      <c r="J36" s="78"/>
      <c r="K36" s="85">
        <v>21.348502204974952</v>
      </c>
      <c r="L36" s="84">
        <v>439.76393369581399</v>
      </c>
      <c r="M36" s="83" t="s">
        <v>109</v>
      </c>
      <c r="N36" s="78"/>
      <c r="O36" s="194">
        <v>2053</v>
      </c>
      <c r="P36" s="189">
        <f>K36*(1+'General Inputs'!$C$5)^(B36-2024)/1000</f>
        <v>3.7911624286507219E-2</v>
      </c>
      <c r="Q36" s="82">
        <f>L36*(1+'General Inputs'!$C$5)^(B36-2024)</f>
        <v>780.95244663801145</v>
      </c>
      <c r="R36" s="83" t="s">
        <v>21</v>
      </c>
      <c r="S36" s="78"/>
      <c r="T36" s="78"/>
      <c r="U36" s="78"/>
    </row>
    <row r="37" spans="2:21" x14ac:dyDescent="0.2">
      <c r="B37" s="96">
        <v>2054</v>
      </c>
      <c r="C37" s="78"/>
      <c r="D37" s="78"/>
      <c r="E37" s="78"/>
      <c r="F37" s="78"/>
      <c r="G37" s="78"/>
      <c r="H37" s="78"/>
      <c r="I37" s="78"/>
      <c r="J37" s="78"/>
      <c r="K37" s="85">
        <v>21.348502204974952</v>
      </c>
      <c r="L37" s="84">
        <v>439.76393369581399</v>
      </c>
      <c r="M37" s="83" t="s">
        <v>109</v>
      </c>
      <c r="N37" s="78"/>
      <c r="O37" s="194">
        <v>2054</v>
      </c>
      <c r="P37" s="189">
        <f>K37*(1+'General Inputs'!$C$5)^(B37-2024)/1000</f>
        <v>3.8669856772237367E-2</v>
      </c>
      <c r="Q37" s="82">
        <f>L37*(1+'General Inputs'!$C$5)^(B37-2024)</f>
        <v>796.57149557077173</v>
      </c>
      <c r="R37" s="83" t="s">
        <v>21</v>
      </c>
      <c r="S37" s="78"/>
      <c r="T37" s="78"/>
      <c r="U37" s="78"/>
    </row>
    <row r="38" spans="2:21" x14ac:dyDescent="0.2">
      <c r="B38" s="96">
        <v>2055</v>
      </c>
      <c r="C38" s="78"/>
      <c r="D38" s="78"/>
      <c r="E38" s="78"/>
      <c r="F38" s="78"/>
      <c r="G38" s="78"/>
      <c r="H38" s="78"/>
      <c r="I38" s="78"/>
      <c r="J38" s="78"/>
      <c r="K38" s="85">
        <v>21.348502204974952</v>
      </c>
      <c r="L38" s="84">
        <v>439.76393369581399</v>
      </c>
      <c r="M38" s="83" t="s">
        <v>109</v>
      </c>
      <c r="N38" s="78"/>
      <c r="O38" s="194">
        <v>2055</v>
      </c>
      <c r="P38" s="189">
        <f>K38*(1+'General Inputs'!$C$5)^(B38-2024)/1000</f>
        <v>3.9443253907682108E-2</v>
      </c>
      <c r="Q38" s="82">
        <f>L38*(1+'General Inputs'!$C$5)^(B38-2024)</f>
        <v>812.50292548218692</v>
      </c>
      <c r="R38" s="83" t="s">
        <v>21</v>
      </c>
      <c r="S38" s="78"/>
      <c r="T38" s="78"/>
      <c r="U38" s="78"/>
    </row>
    <row r="39" spans="2:21" x14ac:dyDescent="0.2">
      <c r="B39" s="96">
        <v>2056</v>
      </c>
      <c r="C39" s="78"/>
      <c r="D39" s="78"/>
      <c r="E39" s="78"/>
      <c r="F39" s="78"/>
      <c r="G39" s="78"/>
      <c r="H39" s="78"/>
      <c r="I39" s="78"/>
      <c r="J39" s="78"/>
      <c r="K39" s="85">
        <v>21.348502204974952</v>
      </c>
      <c r="L39" s="84">
        <v>439.76393369581399</v>
      </c>
      <c r="M39" s="83" t="s">
        <v>109</v>
      </c>
      <c r="N39" s="78"/>
      <c r="O39" s="194">
        <v>2056</v>
      </c>
      <c r="P39" s="189">
        <f>K39*(1+'General Inputs'!$C$5)^(B39-2024)/1000</f>
        <v>4.0232118985835758E-2</v>
      </c>
      <c r="Q39" s="82">
        <f>L39*(1+'General Inputs'!$C$5)^(B39-2024)</f>
        <v>828.75298399183089</v>
      </c>
      <c r="R39" s="83" t="s">
        <v>21</v>
      </c>
      <c r="S39" s="78"/>
      <c r="T39" s="78"/>
      <c r="U39" s="78"/>
    </row>
    <row r="40" spans="2:21" x14ac:dyDescent="0.2">
      <c r="B40" s="96">
        <v>2057</v>
      </c>
      <c r="C40" s="78"/>
      <c r="D40" s="78"/>
      <c r="E40" s="78"/>
      <c r="F40" s="78"/>
      <c r="G40" s="78"/>
      <c r="H40" s="78"/>
      <c r="I40" s="78"/>
      <c r="J40" s="78"/>
      <c r="K40" s="85">
        <v>21.348502204974952</v>
      </c>
      <c r="L40" s="84">
        <v>439.76393369581399</v>
      </c>
      <c r="M40" s="83" t="s">
        <v>109</v>
      </c>
      <c r="N40" s="78"/>
      <c r="O40" s="194">
        <v>2057</v>
      </c>
      <c r="P40" s="189">
        <f>K40*(1+'General Inputs'!$C$5)^(B40-2024)/1000</f>
        <v>4.1036761365552475E-2</v>
      </c>
      <c r="Q40" s="82">
        <f>L40*(1+'General Inputs'!$C$5)^(B40-2024)</f>
        <v>845.32804367166761</v>
      </c>
      <c r="R40" s="83" t="s">
        <v>21</v>
      </c>
      <c r="S40" s="78"/>
      <c r="T40" s="78"/>
      <c r="U40" s="78"/>
    </row>
    <row r="41" spans="2:21" x14ac:dyDescent="0.2">
      <c r="B41" s="96">
        <v>2058</v>
      </c>
      <c r="C41" s="78"/>
      <c r="D41" s="78"/>
      <c r="E41" s="78"/>
      <c r="F41" s="78"/>
      <c r="G41" s="78"/>
      <c r="H41" s="78"/>
      <c r="I41" s="78"/>
      <c r="J41" s="78"/>
      <c r="K41" s="85">
        <v>21.348502204974952</v>
      </c>
      <c r="L41" s="84">
        <v>439.76393369581399</v>
      </c>
      <c r="M41" s="83" t="s">
        <v>109</v>
      </c>
      <c r="N41" s="78"/>
      <c r="O41" s="194">
        <v>2058</v>
      </c>
      <c r="P41" s="189">
        <f>K41*(1+'General Inputs'!$C$5)^(B41-2024)/1000</f>
        <v>4.1857496592863516E-2</v>
      </c>
      <c r="Q41" s="82">
        <f>L41*(1+'General Inputs'!$C$5)^(B41-2024)</f>
        <v>862.23460454510086</v>
      </c>
      <c r="R41" s="83" t="s">
        <v>21</v>
      </c>
      <c r="S41" s="78"/>
      <c r="T41" s="78"/>
      <c r="U41" s="78"/>
    </row>
    <row r="42" spans="2:21" x14ac:dyDescent="0.2">
      <c r="B42" s="96">
        <v>2059</v>
      </c>
      <c r="C42" s="78"/>
      <c r="D42" s="78"/>
      <c r="E42" s="78"/>
      <c r="F42" s="78"/>
      <c r="G42" s="78"/>
      <c r="H42" s="78"/>
      <c r="I42" s="78"/>
      <c r="J42" s="78"/>
      <c r="K42" s="85">
        <v>21.348502204974952</v>
      </c>
      <c r="L42" s="84">
        <v>439.76393369581399</v>
      </c>
      <c r="M42" s="83" t="s">
        <v>109</v>
      </c>
      <c r="N42" s="78"/>
      <c r="O42" s="194">
        <v>2059</v>
      </c>
      <c r="P42" s="189">
        <f>K42*(1+'General Inputs'!$C$5)^(B42-2024)/1000</f>
        <v>4.269464652472079E-2</v>
      </c>
      <c r="Q42" s="82">
        <f>L42*(1+'General Inputs'!$C$5)^(B42-2024)</f>
        <v>879.4792966360028</v>
      </c>
      <c r="R42" s="83" t="s">
        <v>21</v>
      </c>
      <c r="S42" s="78"/>
      <c r="T42" s="78"/>
      <c r="U42" s="78"/>
    </row>
    <row r="43" spans="2:21" x14ac:dyDescent="0.2">
      <c r="B43" s="96">
        <v>2060</v>
      </c>
      <c r="C43" s="78"/>
      <c r="D43" s="78"/>
      <c r="E43" s="78"/>
      <c r="F43" s="78"/>
      <c r="G43" s="78"/>
      <c r="H43" s="78"/>
      <c r="I43" s="78"/>
      <c r="J43" s="78"/>
      <c r="K43" s="85">
        <v>21.348502204974952</v>
      </c>
      <c r="L43" s="84">
        <v>439.76393369581399</v>
      </c>
      <c r="M43" s="83" t="s">
        <v>109</v>
      </c>
      <c r="N43" s="78"/>
      <c r="O43" s="194">
        <v>2060</v>
      </c>
      <c r="P43" s="189">
        <f>K43*(1+'General Inputs'!$C$5)^(B43-2024)/1000</f>
        <v>4.3548539455215196E-2</v>
      </c>
      <c r="Q43" s="82">
        <f>L43*(1+'General Inputs'!$C$5)^(B43-2024)</f>
        <v>897.06888256872287</v>
      </c>
      <c r="R43" s="83" t="s">
        <v>21</v>
      </c>
      <c r="S43" s="78"/>
      <c r="T43" s="78"/>
      <c r="U43" s="78"/>
    </row>
    <row r="44" spans="2:21" x14ac:dyDescent="0.2">
      <c r="B44" s="143">
        <v>2061</v>
      </c>
      <c r="C44" s="144"/>
      <c r="D44" s="144"/>
      <c r="E44" s="144"/>
      <c r="F44" s="144"/>
      <c r="G44" s="144"/>
      <c r="H44" s="144"/>
      <c r="I44" s="144"/>
      <c r="J44" s="144"/>
      <c r="K44" s="145">
        <v>21.348502204974952</v>
      </c>
      <c r="L44" s="146">
        <v>439.76393369581399</v>
      </c>
      <c r="M44" s="147" t="s">
        <v>109</v>
      </c>
      <c r="N44" s="78"/>
      <c r="O44" s="195">
        <v>2061</v>
      </c>
      <c r="P44" s="190">
        <f>K44*(1+'General Inputs'!$C$5)^(B44-2024)/1000</f>
        <v>4.4419510244319511E-2</v>
      </c>
      <c r="Q44" s="191">
        <f>L44*(1+'General Inputs'!$C$5)^(B44-2024)</f>
        <v>915.01026022009739</v>
      </c>
      <c r="R44" s="147" t="s">
        <v>21</v>
      </c>
      <c r="S44" s="78"/>
      <c r="T44" s="78"/>
      <c r="U44" s="78"/>
    </row>
    <row r="45" spans="2:21" x14ac:dyDescent="0.2">
      <c r="B45" s="78"/>
      <c r="C45" s="78"/>
      <c r="D45" s="78"/>
      <c r="E45" s="78"/>
      <c r="F45" s="78"/>
      <c r="G45" s="78"/>
      <c r="H45" s="78"/>
      <c r="I45" s="78"/>
      <c r="J45" s="78"/>
      <c r="K45" s="78"/>
      <c r="L45" s="78"/>
      <c r="M45" s="78"/>
      <c r="N45" s="78"/>
      <c r="O45" s="78"/>
      <c r="P45" s="78"/>
      <c r="Q45" s="78"/>
      <c r="R45" s="78"/>
      <c r="S45" s="78"/>
      <c r="T45" s="78"/>
      <c r="U45" s="78"/>
    </row>
    <row r="46" spans="2:21" x14ac:dyDescent="0.2">
      <c r="B46" s="78"/>
      <c r="C46" s="78"/>
      <c r="D46" s="78"/>
      <c r="E46" s="78"/>
      <c r="F46" s="78"/>
      <c r="G46" s="78"/>
      <c r="H46" s="78"/>
      <c r="I46" s="78"/>
      <c r="J46" s="78"/>
      <c r="K46" s="78"/>
      <c r="L46" s="78"/>
      <c r="M46" s="78"/>
      <c r="N46" s="78"/>
      <c r="O46" s="78"/>
      <c r="P46" s="78"/>
      <c r="Q46" s="78"/>
      <c r="R46" s="78"/>
      <c r="S46" s="78"/>
      <c r="T46" s="78"/>
      <c r="U46" s="78"/>
    </row>
  </sheetData>
  <mergeCells count="1">
    <mergeCell ref="L5:M6"/>
  </mergeCells>
  <pageMargins left="0.7" right="0.7" top="0.75" bottom="0.75" header="0.3" footer="0.3"/>
  <pageSetup scale="6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D5E8B-1F8B-497E-A3F4-E8D05ACF65CA}">
  <sheetPr>
    <pageSetUpPr fitToPage="1"/>
  </sheetPr>
  <dimension ref="A1:G69"/>
  <sheetViews>
    <sheetView zoomScaleNormal="100" workbookViewId="0"/>
  </sheetViews>
  <sheetFormatPr defaultColWidth="9.140625" defaultRowHeight="12.75" x14ac:dyDescent="0.2"/>
  <cols>
    <col min="1" max="1" width="7.140625" style="212" customWidth="1"/>
    <col min="2" max="2" width="13.5703125" style="212" customWidth="1"/>
    <col min="3" max="3" width="18.140625" style="212" bestFit="1" customWidth="1"/>
    <col min="4" max="6" width="27.140625" style="212" customWidth="1"/>
    <col min="7" max="7" width="7.140625" style="212" customWidth="1"/>
    <col min="8" max="9" width="17.140625" style="212" customWidth="1"/>
    <col min="10" max="16384" width="9.140625" style="212"/>
  </cols>
  <sheetData>
    <row r="1" spans="1:5" x14ac:dyDescent="0.2">
      <c r="B1" s="71" t="s">
        <v>0</v>
      </c>
    </row>
    <row r="2" spans="1:5" x14ac:dyDescent="0.2">
      <c r="B2" s="341" t="s">
        <v>111</v>
      </c>
      <c r="C2" s="342"/>
      <c r="D2" s="342"/>
      <c r="E2" s="343">
        <f>G69</f>
        <v>4.3036060028452541</v>
      </c>
    </row>
    <row r="3" spans="1:5" x14ac:dyDescent="0.2">
      <c r="B3" s="213" t="s">
        <v>112</v>
      </c>
      <c r="E3" s="214">
        <v>0.25</v>
      </c>
    </row>
    <row r="4" spans="1:5" x14ac:dyDescent="0.2">
      <c r="B4" s="215" t="s">
        <v>113</v>
      </c>
      <c r="C4" s="216"/>
      <c r="D4" s="216"/>
      <c r="E4" s="217">
        <f>E3*E2</f>
        <v>1.0759015007113135</v>
      </c>
    </row>
    <row r="6" spans="1:5" x14ac:dyDescent="0.2">
      <c r="A6" s="7"/>
      <c r="B6" s="397" t="s">
        <v>114</v>
      </c>
      <c r="C6" s="399"/>
    </row>
    <row r="7" spans="1:5" x14ac:dyDescent="0.2">
      <c r="A7" s="7"/>
      <c r="B7" s="111" t="s">
        <v>17</v>
      </c>
      <c r="C7" s="344" t="s">
        <v>115</v>
      </c>
    </row>
    <row r="8" spans="1:5" x14ac:dyDescent="0.2">
      <c r="A8" s="7"/>
      <c r="B8" s="218">
        <v>2025</v>
      </c>
      <c r="C8" s="307">
        <v>1.0974195307255399</v>
      </c>
    </row>
    <row r="9" spans="1:5" x14ac:dyDescent="0.2">
      <c r="A9" s="7"/>
      <c r="B9" s="218">
        <v>2026</v>
      </c>
      <c r="C9" s="79">
        <v>1.1193679213400507</v>
      </c>
    </row>
    <row r="10" spans="1:5" x14ac:dyDescent="0.2">
      <c r="A10" s="159"/>
      <c r="B10" s="112">
        <v>2027</v>
      </c>
      <c r="C10" s="79">
        <v>1.1417552797668518</v>
      </c>
    </row>
    <row r="11" spans="1:5" x14ac:dyDescent="0.2">
      <c r="A11" s="7"/>
      <c r="B11" s="112">
        <v>2028</v>
      </c>
      <c r="C11" s="79">
        <v>1.1645903853621888</v>
      </c>
    </row>
    <row r="12" spans="1:5" x14ac:dyDescent="0.2">
      <c r="A12" s="7"/>
      <c r="B12" s="112">
        <v>2029</v>
      </c>
      <c r="C12" s="79">
        <v>1.1878821930694325</v>
      </c>
    </row>
    <row r="13" spans="1:5" x14ac:dyDescent="0.2">
      <c r="A13" s="7"/>
      <c r="B13" s="112">
        <v>2030</v>
      </c>
      <c r="C13" s="79">
        <v>1.2116398369308212</v>
      </c>
    </row>
    <row r="14" spans="1:5" x14ac:dyDescent="0.2">
      <c r="A14" s="7"/>
      <c r="B14" s="112">
        <v>2031</v>
      </c>
      <c r="C14" s="79">
        <v>1.2358726336694377</v>
      </c>
    </row>
    <row r="15" spans="1:5" x14ac:dyDescent="0.2">
      <c r="A15" s="7"/>
      <c r="B15" s="112">
        <v>2032</v>
      </c>
      <c r="C15" s="79">
        <v>1.2605900863428265</v>
      </c>
    </row>
    <row r="16" spans="1:5" x14ac:dyDescent="0.2">
      <c r="A16" s="7"/>
      <c r="B16" s="112">
        <v>2033</v>
      </c>
      <c r="C16" s="79">
        <v>1.2858018880696831</v>
      </c>
    </row>
    <row r="17" spans="1:3" x14ac:dyDescent="0.2">
      <c r="A17" s="7"/>
      <c r="B17" s="112">
        <v>2034</v>
      </c>
      <c r="C17" s="79">
        <v>1.3115179258310767</v>
      </c>
    </row>
    <row r="18" spans="1:3" x14ac:dyDescent="0.2">
      <c r="A18" s="7"/>
      <c r="B18" s="112">
        <v>2035</v>
      </c>
      <c r="C18" s="79">
        <v>1.3377482843476982</v>
      </c>
    </row>
    <row r="19" spans="1:3" x14ac:dyDescent="0.2">
      <c r="A19" s="7"/>
      <c r="B19" s="112">
        <v>2036</v>
      </c>
      <c r="C19" s="79">
        <v>1.3645032500346521</v>
      </c>
    </row>
    <row r="20" spans="1:3" x14ac:dyDescent="0.2">
      <c r="A20" s="7"/>
      <c r="B20" s="112">
        <v>2037</v>
      </c>
      <c r="C20" s="79">
        <v>1.3917933150353452</v>
      </c>
    </row>
    <row r="21" spans="1:3" x14ac:dyDescent="0.2">
      <c r="A21" s="7"/>
      <c r="B21" s="112">
        <v>2038</v>
      </c>
      <c r="C21" s="79">
        <v>1.4196291813360522</v>
      </c>
    </row>
    <row r="22" spans="1:3" x14ac:dyDescent="0.2">
      <c r="A22" s="7"/>
      <c r="B22" s="112">
        <v>2039</v>
      </c>
      <c r="C22" s="79">
        <v>1.4480217649627734</v>
      </c>
    </row>
    <row r="23" spans="1:3" x14ac:dyDescent="0.2">
      <c r="A23" s="7"/>
      <c r="B23" s="112">
        <v>2040</v>
      </c>
      <c r="C23" s="79">
        <v>1.4769822002620288</v>
      </c>
    </row>
    <row r="24" spans="1:3" x14ac:dyDescent="0.2">
      <c r="A24" s="7"/>
      <c r="B24" s="112">
        <v>2041</v>
      </c>
      <c r="C24" s="79">
        <v>1.5065218442672694</v>
      </c>
    </row>
    <row r="25" spans="1:3" x14ac:dyDescent="0.2">
      <c r="A25" s="7"/>
      <c r="B25" s="112">
        <v>2042</v>
      </c>
      <c r="C25" s="79">
        <v>1.5366522811526149</v>
      </c>
    </row>
    <row r="26" spans="1:3" x14ac:dyDescent="0.2">
      <c r="A26" s="7"/>
      <c r="B26" s="112">
        <v>2043</v>
      </c>
      <c r="C26" s="79">
        <v>1.5673853267756672</v>
      </c>
    </row>
    <row r="27" spans="1:3" x14ac:dyDescent="0.2">
      <c r="A27" s="7"/>
      <c r="B27" s="112">
        <v>2044</v>
      </c>
      <c r="C27" s="79">
        <v>1.5987330333111807</v>
      </c>
    </row>
    <row r="28" spans="1:3" x14ac:dyDescent="0.2">
      <c r="A28" s="7"/>
      <c r="B28" s="112">
        <v>2045</v>
      </c>
      <c r="C28" s="79">
        <v>1.6307076939774043</v>
      </c>
    </row>
    <row r="29" spans="1:3" x14ac:dyDescent="0.2">
      <c r="A29" s="7"/>
      <c r="B29" s="112">
        <v>2046</v>
      </c>
      <c r="C29" s="79">
        <v>1.6633218478569525</v>
      </c>
    </row>
    <row r="30" spans="1:3" x14ac:dyDescent="0.2">
      <c r="A30" s="7"/>
      <c r="B30" s="112">
        <v>2047</v>
      </c>
      <c r="C30" s="79">
        <v>1.6965882848140916</v>
      </c>
    </row>
    <row r="31" spans="1:3" x14ac:dyDescent="0.2">
      <c r="A31" s="7"/>
      <c r="B31" s="112">
        <v>2048</v>
      </c>
      <c r="C31" s="79">
        <v>1.7305200505103735</v>
      </c>
    </row>
    <row r="32" spans="1:3" x14ac:dyDescent="0.2">
      <c r="A32" s="7"/>
      <c r="B32" s="112">
        <v>2049</v>
      </c>
      <c r="C32" s="79">
        <v>1.765130451520581</v>
      </c>
    </row>
    <row r="33" spans="1:7" x14ac:dyDescent="0.2">
      <c r="A33" s="7"/>
      <c r="B33" s="112">
        <v>2050</v>
      </c>
      <c r="C33" s="79">
        <v>1.8004330605509926</v>
      </c>
    </row>
    <row r="34" spans="1:7" x14ac:dyDescent="0.2">
      <c r="A34" s="7"/>
      <c r="B34" s="112">
        <v>2051</v>
      </c>
      <c r="C34" s="79">
        <v>1.8364417217620126</v>
      </c>
    </row>
    <row r="35" spans="1:7" x14ac:dyDescent="0.2">
      <c r="A35" s="7"/>
      <c r="B35" s="112">
        <v>2052</v>
      </c>
      <c r="C35" s="79">
        <v>1.8731705561972529</v>
      </c>
    </row>
    <row r="36" spans="1:7" x14ac:dyDescent="0.2">
      <c r="A36" s="7"/>
      <c r="B36" s="112">
        <v>2053</v>
      </c>
      <c r="C36" s="79">
        <v>1.9106339673211981</v>
      </c>
    </row>
    <row r="37" spans="1:7" x14ac:dyDescent="0.2">
      <c r="A37" s="7"/>
      <c r="B37" s="203">
        <v>2054</v>
      </c>
      <c r="C37" s="205">
        <v>1.948846646667622</v>
      </c>
    </row>
    <row r="38" spans="1:7" x14ac:dyDescent="0.2">
      <c r="A38" s="7"/>
    </row>
    <row r="39" spans="1:7" x14ac:dyDescent="0.2">
      <c r="A39" s="7"/>
    </row>
    <row r="40" spans="1:7" x14ac:dyDescent="0.2">
      <c r="B40" s="345" t="s">
        <v>116</v>
      </c>
      <c r="C40" s="346"/>
      <c r="D40" s="346"/>
      <c r="E40" s="346"/>
      <c r="F40" s="346"/>
      <c r="G40" s="347"/>
    </row>
    <row r="41" spans="1:7" x14ac:dyDescent="0.2">
      <c r="A41" s="7"/>
      <c r="B41" s="207" t="s">
        <v>117</v>
      </c>
      <c r="C41" s="206"/>
      <c r="D41" s="206"/>
      <c r="E41" s="206"/>
      <c r="F41" s="206"/>
      <c r="G41" s="208"/>
    </row>
    <row r="42" spans="1:7" x14ac:dyDescent="0.2">
      <c r="A42" s="7"/>
      <c r="B42" s="207"/>
      <c r="C42" s="206"/>
      <c r="D42" s="206"/>
      <c r="E42" s="206"/>
      <c r="F42" s="206"/>
      <c r="G42" s="208"/>
    </row>
    <row r="43" spans="1:7" x14ac:dyDescent="0.2">
      <c r="A43" s="7"/>
      <c r="B43" s="213" t="s">
        <v>118</v>
      </c>
      <c r="C43" s="219"/>
      <c r="D43" s="219"/>
      <c r="F43" s="219"/>
      <c r="G43" s="220">
        <v>30</v>
      </c>
    </row>
    <row r="44" spans="1:7" x14ac:dyDescent="0.2">
      <c r="A44" s="7"/>
      <c r="B44" s="207"/>
      <c r="C44" s="206"/>
      <c r="D44" s="206"/>
      <c r="E44" s="206"/>
      <c r="F44" s="206"/>
      <c r="G44" s="208"/>
    </row>
    <row r="45" spans="1:7" x14ac:dyDescent="0.2">
      <c r="A45" s="7"/>
      <c r="B45" s="207" t="s">
        <v>119</v>
      </c>
      <c r="C45" s="206"/>
      <c r="D45" s="206"/>
      <c r="E45" s="219"/>
      <c r="F45" s="219"/>
      <c r="G45" s="208"/>
    </row>
    <row r="46" spans="1:7" x14ac:dyDescent="0.2">
      <c r="A46" s="7"/>
      <c r="B46" s="207"/>
      <c r="C46" s="206"/>
      <c r="D46" s="206"/>
      <c r="E46" s="221" t="s">
        <v>120</v>
      </c>
      <c r="F46" s="221"/>
      <c r="G46" s="208"/>
    </row>
    <row r="47" spans="1:7" ht="51" x14ac:dyDescent="0.2">
      <c r="A47" s="7"/>
      <c r="B47" s="211"/>
      <c r="C47" s="209"/>
      <c r="D47" s="222" t="s">
        <v>121</v>
      </c>
      <c r="E47" s="223" t="s">
        <v>122</v>
      </c>
      <c r="F47" s="223" t="s">
        <v>123</v>
      </c>
      <c r="G47" s="223" t="s">
        <v>124</v>
      </c>
    </row>
    <row r="48" spans="1:7" x14ac:dyDescent="0.2">
      <c r="A48" s="7"/>
      <c r="B48" s="415" t="s">
        <v>125</v>
      </c>
      <c r="C48" s="224" t="s">
        <v>126</v>
      </c>
      <c r="D48" s="348">
        <v>30</v>
      </c>
      <c r="E48" s="349">
        <v>1.3939999999999999</v>
      </c>
      <c r="F48" s="225">
        <v>1.7130000000000001</v>
      </c>
      <c r="G48" s="226">
        <f>E48+F48</f>
        <v>3.1070000000000002</v>
      </c>
    </row>
    <row r="49" spans="1:7" x14ac:dyDescent="0.2">
      <c r="A49" s="7"/>
      <c r="B49" s="416"/>
      <c r="C49" s="224" t="s">
        <v>127</v>
      </c>
      <c r="D49" s="348">
        <v>30</v>
      </c>
      <c r="E49" s="349">
        <v>1.5549999999999999</v>
      </c>
      <c r="F49" s="225">
        <v>2.5859999999999999</v>
      </c>
      <c r="G49" s="226">
        <f>E49+F49</f>
        <v>4.141</v>
      </c>
    </row>
    <row r="50" spans="1:7" x14ac:dyDescent="0.2">
      <c r="A50" s="7"/>
      <c r="B50" s="415" t="s">
        <v>128</v>
      </c>
      <c r="C50" s="224" t="s">
        <v>129</v>
      </c>
      <c r="D50" s="348">
        <v>30</v>
      </c>
      <c r="E50" s="350"/>
      <c r="F50" s="227"/>
      <c r="G50" s="228">
        <v>5.0605000000000002</v>
      </c>
    </row>
    <row r="51" spans="1:7" x14ac:dyDescent="0.2">
      <c r="A51" s="7"/>
      <c r="B51" s="417"/>
      <c r="C51" s="224" t="s">
        <v>130</v>
      </c>
      <c r="D51" s="348">
        <v>30</v>
      </c>
      <c r="E51" s="349">
        <v>2.4331999999999998</v>
      </c>
      <c r="F51" s="225">
        <v>2.7791000000000001</v>
      </c>
      <c r="G51" s="226">
        <f>E51+F51</f>
        <v>5.2122999999999999</v>
      </c>
    </row>
    <row r="52" spans="1:7" x14ac:dyDescent="0.2">
      <c r="A52" s="7"/>
      <c r="B52" s="416"/>
      <c r="C52" s="224" t="s">
        <v>131</v>
      </c>
      <c r="D52" s="348">
        <v>30</v>
      </c>
      <c r="E52" s="350"/>
      <c r="F52" s="227"/>
      <c r="G52" s="228">
        <v>4.7937000000000003</v>
      </c>
    </row>
    <row r="53" spans="1:7" x14ac:dyDescent="0.2">
      <c r="B53" s="229" t="s">
        <v>132</v>
      </c>
      <c r="C53" s="224" t="s">
        <v>132</v>
      </c>
      <c r="D53" s="348">
        <v>30</v>
      </c>
      <c r="E53" s="350"/>
      <c r="F53" s="227"/>
      <c r="G53" s="226">
        <v>4.5178000000000003</v>
      </c>
    </row>
    <row r="54" spans="1:7" x14ac:dyDescent="0.2">
      <c r="B54" s="415" t="s">
        <v>133</v>
      </c>
      <c r="C54" s="224" t="s">
        <v>134</v>
      </c>
      <c r="D54" s="348">
        <v>6</v>
      </c>
      <c r="E54" s="349">
        <v>0.92</v>
      </c>
      <c r="F54" s="225">
        <v>0.86</v>
      </c>
      <c r="G54" s="226">
        <f>((E54+F54)*D54+(E55+F55)*D55+(E56+F56)*D56)/G43</f>
        <v>3.2463333333333333</v>
      </c>
    </row>
    <row r="55" spans="1:7" x14ac:dyDescent="0.2">
      <c r="B55" s="417"/>
      <c r="C55" s="224" t="s">
        <v>135</v>
      </c>
      <c r="D55" s="348">
        <v>19</v>
      </c>
      <c r="E55" s="349">
        <v>1.83</v>
      </c>
      <c r="F55" s="225">
        <v>1.71</v>
      </c>
      <c r="G55" s="226"/>
    </row>
    <row r="56" spans="1:7" x14ac:dyDescent="0.2">
      <c r="B56" s="416"/>
      <c r="C56" s="224" t="s">
        <v>136</v>
      </c>
      <c r="D56" s="348">
        <v>5</v>
      </c>
      <c r="E56" s="349">
        <v>2.0099999999999998</v>
      </c>
      <c r="F56" s="225">
        <v>1.88</v>
      </c>
      <c r="G56" s="226"/>
    </row>
    <row r="57" spans="1:7" x14ac:dyDescent="0.2">
      <c r="B57" s="210"/>
      <c r="C57" s="230"/>
      <c r="D57" s="230"/>
      <c r="E57" s="206"/>
      <c r="F57" s="206"/>
      <c r="G57" s="231"/>
    </row>
    <row r="58" spans="1:7" x14ac:dyDescent="0.2">
      <c r="B58" s="207" t="s">
        <v>137</v>
      </c>
      <c r="C58" s="206"/>
      <c r="D58" s="206"/>
      <c r="E58" s="206"/>
      <c r="F58" s="206"/>
      <c r="G58" s="208"/>
    </row>
    <row r="59" spans="1:7" x14ac:dyDescent="0.2">
      <c r="B59" s="207"/>
      <c r="C59" s="206"/>
      <c r="D59" s="206"/>
      <c r="E59" s="206"/>
      <c r="F59" s="206"/>
      <c r="G59" s="208"/>
    </row>
    <row r="60" spans="1:7" x14ac:dyDescent="0.2">
      <c r="B60" s="232"/>
      <c r="C60" s="233"/>
      <c r="D60" s="234" t="s">
        <v>138</v>
      </c>
      <c r="E60" s="235" t="s">
        <v>139</v>
      </c>
      <c r="F60" s="206"/>
      <c r="G60" s="236"/>
    </row>
    <row r="61" spans="1:7" x14ac:dyDescent="0.2">
      <c r="B61" s="412" t="s">
        <v>125</v>
      </c>
      <c r="C61" s="237" t="s">
        <v>126</v>
      </c>
      <c r="D61" s="238">
        <v>94415</v>
      </c>
      <c r="E61" s="239">
        <f t="shared" ref="E61:E67" si="0">D61/D$68*G48</f>
        <v>5.9785667454237121E-2</v>
      </c>
      <c r="F61" s="206"/>
      <c r="G61" s="236"/>
    </row>
    <row r="62" spans="1:7" x14ac:dyDescent="0.2">
      <c r="B62" s="414"/>
      <c r="C62" s="237" t="s">
        <v>140</v>
      </c>
      <c r="D62" s="238">
        <v>136803</v>
      </c>
      <c r="E62" s="239">
        <f t="shared" si="0"/>
        <v>0.11545578093897448</v>
      </c>
      <c r="F62" s="206"/>
      <c r="G62" s="236"/>
    </row>
    <row r="63" spans="1:7" x14ac:dyDescent="0.2">
      <c r="B63" s="412" t="s">
        <v>128</v>
      </c>
      <c r="C63" s="237" t="s">
        <v>129</v>
      </c>
      <c r="D63" s="238">
        <v>202022</v>
      </c>
      <c r="E63" s="239">
        <f t="shared" si="0"/>
        <v>0.20835643924950034</v>
      </c>
      <c r="F63" s="206"/>
      <c r="G63" s="236"/>
    </row>
    <row r="64" spans="1:7" x14ac:dyDescent="0.2">
      <c r="B64" s="413"/>
      <c r="C64" s="237" t="s">
        <v>130</v>
      </c>
      <c r="D64" s="238">
        <v>323103</v>
      </c>
      <c r="E64" s="239">
        <f t="shared" si="0"/>
        <v>0.34322998862156695</v>
      </c>
      <c r="F64" s="206"/>
      <c r="G64" s="236"/>
    </row>
    <row r="65" spans="2:7" x14ac:dyDescent="0.2">
      <c r="B65" s="414"/>
      <c r="C65" s="237" t="s">
        <v>131</v>
      </c>
      <c r="D65" s="238">
        <v>338503</v>
      </c>
      <c r="E65" s="239">
        <f t="shared" si="0"/>
        <v>0.33071066825417178</v>
      </c>
      <c r="F65" s="206"/>
      <c r="G65" s="236"/>
    </row>
    <row r="66" spans="2:7" x14ac:dyDescent="0.2">
      <c r="B66" s="240" t="s">
        <v>132</v>
      </c>
      <c r="C66" s="237" t="s">
        <v>132</v>
      </c>
      <c r="D66" s="238">
        <v>2794356</v>
      </c>
      <c r="E66" s="239">
        <f t="shared" si="0"/>
        <v>2.5729039087556873</v>
      </c>
      <c r="F66" s="206"/>
      <c r="G66" s="236"/>
    </row>
    <row r="67" spans="2:7" x14ac:dyDescent="0.2">
      <c r="B67" s="240" t="s">
        <v>133</v>
      </c>
      <c r="C67" s="351" t="s">
        <v>133</v>
      </c>
      <c r="D67" s="238">
        <v>1017449</v>
      </c>
      <c r="E67" s="239">
        <f t="shared" si="0"/>
        <v>0.67316354957111613</v>
      </c>
      <c r="F67" s="206"/>
      <c r="G67" s="236"/>
    </row>
    <row r="68" spans="2:7" x14ac:dyDescent="0.2">
      <c r="B68" s="210"/>
      <c r="C68" s="237" t="s">
        <v>8</v>
      </c>
      <c r="D68" s="241">
        <f>SUM(D61:D67)</f>
        <v>4906651</v>
      </c>
      <c r="E68" s="239">
        <f>SUM(E61:E67)</f>
        <v>4.3036060028452541</v>
      </c>
      <c r="F68" s="206"/>
      <c r="G68" s="236"/>
    </row>
    <row r="69" spans="2:7" ht="14.25" x14ac:dyDescent="0.2">
      <c r="B69" s="242" t="s">
        <v>141</v>
      </c>
      <c r="C69" s="352"/>
      <c r="D69" s="352"/>
      <c r="E69" s="353"/>
      <c r="F69" s="352"/>
      <c r="G69" s="243">
        <f>E68</f>
        <v>4.3036060028452541</v>
      </c>
    </row>
  </sheetData>
  <mergeCells count="6">
    <mergeCell ref="B63:B65"/>
    <mergeCell ref="B6:C6"/>
    <mergeCell ref="B48:B49"/>
    <mergeCell ref="B50:B52"/>
    <mergeCell ref="B54:B56"/>
    <mergeCell ref="B61:B62"/>
  </mergeCells>
  <pageMargins left="0.7" right="0.7" top="0.75" bottom="0.75" header="0.3" footer="0.3"/>
  <pageSetup scale="6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5FF3C-CE4A-4B8B-B476-DCCB58845EA9}">
  <sheetPr>
    <pageSetUpPr fitToPage="1"/>
  </sheetPr>
  <dimension ref="B1:S68"/>
  <sheetViews>
    <sheetView zoomScaleNormal="100" zoomScaleSheetLayoutView="80" workbookViewId="0">
      <selection activeCell="O32" sqref="O32"/>
    </sheetView>
  </sheetViews>
  <sheetFormatPr defaultColWidth="9.140625" defaultRowHeight="12.75" x14ac:dyDescent="0.2"/>
  <cols>
    <col min="1" max="1" width="7.140625" style="212" customWidth="1"/>
    <col min="2" max="2" width="34.5703125" style="212" customWidth="1"/>
    <col min="3" max="13" width="9.140625" style="212" customWidth="1"/>
    <col min="14" max="14" width="7.140625" style="7" customWidth="1"/>
    <col min="15" max="16" width="17.140625" style="212" customWidth="1"/>
    <col min="17" max="16384" width="9.140625" style="212"/>
  </cols>
  <sheetData>
    <row r="1" spans="2:16" x14ac:dyDescent="0.2">
      <c r="E1" s="71" t="s">
        <v>0</v>
      </c>
    </row>
    <row r="2" spans="2:16" x14ac:dyDescent="0.2">
      <c r="B2" s="341" t="s">
        <v>111</v>
      </c>
      <c r="C2" s="342"/>
      <c r="D2" s="342"/>
      <c r="E2" s="343">
        <v>3.862126285714286</v>
      </c>
      <c r="I2" s="253"/>
      <c r="J2" s="253"/>
      <c r="K2" s="253"/>
      <c r="L2" s="253"/>
      <c r="M2" s="253"/>
      <c r="O2" s="71"/>
      <c r="P2" s="71"/>
    </row>
    <row r="3" spans="2:16" x14ac:dyDescent="0.2">
      <c r="B3" s="213" t="s">
        <v>112</v>
      </c>
      <c r="E3" s="214">
        <v>0.25</v>
      </c>
      <c r="I3" s="253"/>
      <c r="J3" s="253"/>
      <c r="K3" s="253"/>
      <c r="L3" s="253"/>
      <c r="M3" s="253"/>
      <c r="O3" s="159"/>
      <c r="P3" s="159"/>
    </row>
    <row r="4" spans="2:16" x14ac:dyDescent="0.2">
      <c r="B4" s="215" t="s">
        <v>113</v>
      </c>
      <c r="C4" s="216"/>
      <c r="D4" s="216"/>
      <c r="E4" s="217">
        <v>0.96553157142857149</v>
      </c>
      <c r="M4" s="254"/>
      <c r="O4" s="159"/>
      <c r="P4" s="107"/>
    </row>
    <row r="5" spans="2:16" x14ac:dyDescent="0.2">
      <c r="O5" s="159"/>
      <c r="P5" s="107"/>
    </row>
    <row r="6" spans="2:16" x14ac:dyDescent="0.2">
      <c r="B6" s="397" t="s">
        <v>114</v>
      </c>
      <c r="C6" s="399"/>
      <c r="O6" s="159"/>
      <c r="P6" s="107"/>
    </row>
    <row r="7" spans="2:16" x14ac:dyDescent="0.2">
      <c r="B7" s="111" t="s">
        <v>17</v>
      </c>
      <c r="C7" s="344" t="s">
        <v>115</v>
      </c>
      <c r="J7" s="255"/>
      <c r="O7" s="159"/>
      <c r="P7" s="107"/>
    </row>
    <row r="8" spans="2:16" x14ac:dyDescent="0.2">
      <c r="B8" s="218">
        <v>2025</v>
      </c>
      <c r="C8" s="307">
        <v>0.98484220285714297</v>
      </c>
      <c r="O8" s="159"/>
      <c r="P8" s="107"/>
    </row>
    <row r="9" spans="2:16" ht="12.75" customHeight="1" x14ac:dyDescent="0.2">
      <c r="B9" s="218">
        <v>2026</v>
      </c>
      <c r="C9" s="79">
        <v>1.0045390469142859</v>
      </c>
      <c r="I9" s="256"/>
      <c r="J9" s="256"/>
      <c r="K9" s="257"/>
      <c r="L9" s="257"/>
      <c r="M9" s="257"/>
      <c r="O9" s="159"/>
      <c r="P9" s="107"/>
    </row>
    <row r="10" spans="2:16" ht="12.75" customHeight="1" x14ac:dyDescent="0.2">
      <c r="B10" s="112">
        <v>2027</v>
      </c>
      <c r="C10" s="79">
        <v>1.0246298278525716</v>
      </c>
      <c r="I10" s="257"/>
      <c r="J10" s="257"/>
      <c r="K10" s="257"/>
      <c r="L10" s="257"/>
      <c r="M10" s="257"/>
      <c r="O10" s="159"/>
      <c r="P10" s="107"/>
    </row>
    <row r="11" spans="2:16" ht="15" customHeight="1" x14ac:dyDescent="0.2">
      <c r="B11" s="112">
        <v>2028</v>
      </c>
      <c r="C11" s="79">
        <v>1.0451224244096231</v>
      </c>
      <c r="I11" s="257"/>
      <c r="J11" s="257"/>
      <c r="K11" s="257"/>
      <c r="L11" s="257"/>
      <c r="M11" s="257"/>
      <c r="O11" s="159"/>
      <c r="P11" s="107"/>
    </row>
    <row r="12" spans="2:16" x14ac:dyDescent="0.2">
      <c r="B12" s="112">
        <v>2029</v>
      </c>
      <c r="C12" s="79">
        <v>1.0660248728978157</v>
      </c>
      <c r="I12" s="257"/>
      <c r="J12" s="257"/>
      <c r="K12" s="257"/>
      <c r="L12" s="257"/>
      <c r="M12" s="257"/>
      <c r="O12" s="159"/>
      <c r="P12" s="107"/>
    </row>
    <row r="13" spans="2:16" x14ac:dyDescent="0.2">
      <c r="B13" s="112">
        <v>2030</v>
      </c>
      <c r="C13" s="79">
        <v>1.0873453703557721</v>
      </c>
      <c r="I13" s="258"/>
      <c r="J13" s="258"/>
      <c r="K13" s="258"/>
      <c r="L13" s="259"/>
      <c r="M13" s="260"/>
      <c r="O13" s="159"/>
      <c r="P13" s="107"/>
    </row>
    <row r="14" spans="2:16" x14ac:dyDescent="0.2">
      <c r="B14" s="112">
        <v>2031</v>
      </c>
      <c r="C14" s="79">
        <v>1.1090922777628875</v>
      </c>
      <c r="I14" s="258"/>
      <c r="J14" s="258"/>
      <c r="K14" s="258"/>
      <c r="L14" s="259"/>
      <c r="M14" s="260"/>
      <c r="O14" s="159"/>
      <c r="P14" s="107"/>
    </row>
    <row r="15" spans="2:16" x14ac:dyDescent="0.2">
      <c r="B15" s="112">
        <v>2032</v>
      </c>
      <c r="C15" s="79">
        <v>1.1312741233181454</v>
      </c>
      <c r="I15" s="258"/>
      <c r="J15" s="258"/>
      <c r="K15" s="258"/>
      <c r="L15" s="259"/>
      <c r="M15" s="260"/>
      <c r="O15" s="159"/>
      <c r="P15" s="107"/>
    </row>
    <row r="16" spans="2:16" x14ac:dyDescent="0.2">
      <c r="B16" s="112">
        <v>2033</v>
      </c>
      <c r="C16" s="79">
        <v>1.1538996057845083</v>
      </c>
      <c r="I16" s="258"/>
      <c r="J16" s="261"/>
      <c r="K16" s="258"/>
      <c r="L16" s="259"/>
      <c r="M16" s="260"/>
      <c r="O16" s="159"/>
      <c r="P16" s="107"/>
    </row>
    <row r="17" spans="2:16" x14ac:dyDescent="0.2">
      <c r="B17" s="112">
        <v>2034</v>
      </c>
      <c r="C17" s="79">
        <v>1.1769775979001986</v>
      </c>
      <c r="I17" s="258"/>
      <c r="J17" s="258"/>
      <c r="K17" s="258"/>
      <c r="L17" s="259"/>
      <c r="M17" s="260"/>
      <c r="O17" s="159"/>
      <c r="P17" s="107"/>
    </row>
    <row r="18" spans="2:16" x14ac:dyDescent="0.2">
      <c r="B18" s="112">
        <v>2035</v>
      </c>
      <c r="C18" s="79">
        <v>1.2005171498582026</v>
      </c>
      <c r="I18" s="258"/>
      <c r="J18" s="258"/>
      <c r="K18" s="258"/>
      <c r="L18" s="259"/>
      <c r="M18" s="262"/>
      <c r="O18" s="159"/>
      <c r="P18" s="107"/>
    </row>
    <row r="19" spans="2:16" x14ac:dyDescent="0.2">
      <c r="B19" s="112">
        <v>2036</v>
      </c>
      <c r="C19" s="79">
        <v>1.2245274928553667</v>
      </c>
      <c r="I19" s="258"/>
      <c r="J19" s="258"/>
      <c r="K19" s="258"/>
      <c r="L19" s="259"/>
      <c r="M19" s="260"/>
      <c r="O19" s="159"/>
      <c r="P19" s="107"/>
    </row>
    <row r="20" spans="2:16" x14ac:dyDescent="0.2">
      <c r="B20" s="112">
        <v>2037</v>
      </c>
      <c r="C20" s="79">
        <v>1.249018042712474</v>
      </c>
      <c r="I20" s="258"/>
      <c r="J20" s="258"/>
      <c r="K20" s="258"/>
      <c r="L20" s="259"/>
      <c r="M20" s="262"/>
      <c r="O20" s="159"/>
      <c r="P20" s="107"/>
    </row>
    <row r="21" spans="2:16" x14ac:dyDescent="0.2">
      <c r="B21" s="112">
        <v>2038</v>
      </c>
      <c r="C21" s="79">
        <v>1.2739984035667236</v>
      </c>
      <c r="I21" s="258"/>
      <c r="J21" s="258"/>
      <c r="K21" s="258"/>
      <c r="L21" s="259"/>
      <c r="M21" s="262"/>
      <c r="O21" s="159"/>
      <c r="P21" s="107"/>
    </row>
    <row r="22" spans="2:16" x14ac:dyDescent="0.2">
      <c r="B22" s="112">
        <v>2039</v>
      </c>
      <c r="C22" s="79">
        <v>1.299478371638058</v>
      </c>
      <c r="I22" s="258"/>
      <c r="J22" s="258"/>
      <c r="K22" s="258"/>
      <c r="L22" s="259"/>
      <c r="M22" s="262"/>
      <c r="O22" s="159"/>
      <c r="P22" s="107"/>
    </row>
    <row r="23" spans="2:16" x14ac:dyDescent="0.2">
      <c r="B23" s="112">
        <v>2040</v>
      </c>
      <c r="C23" s="79">
        <v>1.3254679390708193</v>
      </c>
      <c r="I23" s="258"/>
      <c r="J23" s="258"/>
      <c r="K23" s="258"/>
      <c r="L23" s="259"/>
      <c r="M23" s="260"/>
      <c r="O23" s="159"/>
      <c r="P23" s="107"/>
    </row>
    <row r="24" spans="2:16" x14ac:dyDescent="0.2">
      <c r="B24" s="112">
        <v>2041</v>
      </c>
      <c r="C24" s="79">
        <v>1.3519772978522357</v>
      </c>
      <c r="I24" s="258"/>
      <c r="J24" s="258"/>
      <c r="K24" s="258"/>
      <c r="L24" s="259"/>
      <c r="M24" s="260"/>
      <c r="O24" s="159"/>
      <c r="P24" s="107"/>
    </row>
    <row r="25" spans="2:16" x14ac:dyDescent="0.2">
      <c r="B25" s="112">
        <v>2042</v>
      </c>
      <c r="C25" s="79">
        <v>1.3790168438092805</v>
      </c>
      <c r="I25" s="258"/>
      <c r="J25" s="258"/>
      <c r="K25" s="258"/>
      <c r="L25" s="259"/>
      <c r="M25" s="260"/>
      <c r="O25" s="159"/>
      <c r="P25" s="107"/>
    </row>
    <row r="26" spans="2:16" x14ac:dyDescent="0.2">
      <c r="B26" s="112">
        <v>2043</v>
      </c>
      <c r="C26" s="79">
        <v>1.406597180685466</v>
      </c>
      <c r="I26" s="258"/>
      <c r="J26" s="258"/>
      <c r="K26" s="258"/>
      <c r="L26" s="259"/>
      <c r="M26" s="260"/>
      <c r="O26" s="159"/>
      <c r="P26" s="107"/>
    </row>
    <row r="27" spans="2:16" x14ac:dyDescent="0.2">
      <c r="B27" s="112">
        <v>2044</v>
      </c>
      <c r="C27" s="79">
        <v>1.4347291242991753</v>
      </c>
      <c r="I27" s="258"/>
      <c r="J27" s="258"/>
      <c r="K27" s="258"/>
      <c r="L27" s="259"/>
      <c r="M27" s="260"/>
      <c r="O27" s="159"/>
      <c r="P27" s="107"/>
    </row>
    <row r="28" spans="2:16" x14ac:dyDescent="0.2">
      <c r="B28" s="112">
        <v>2045</v>
      </c>
      <c r="C28" s="79">
        <v>1.4634237067851588</v>
      </c>
      <c r="I28" s="258"/>
      <c r="J28" s="258"/>
      <c r="K28" s="258"/>
      <c r="L28" s="259"/>
      <c r="M28" s="260"/>
      <c r="O28" s="159"/>
      <c r="P28" s="107"/>
    </row>
    <row r="29" spans="2:16" x14ac:dyDescent="0.2">
      <c r="B29" s="112">
        <v>2046</v>
      </c>
      <c r="C29" s="79">
        <v>1.492692180920862</v>
      </c>
      <c r="I29" s="258"/>
      <c r="J29" s="258"/>
      <c r="K29" s="258"/>
      <c r="L29" s="259"/>
      <c r="M29" s="260"/>
      <c r="O29" s="159"/>
      <c r="P29" s="107"/>
    </row>
    <row r="30" spans="2:16" x14ac:dyDescent="0.2">
      <c r="B30" s="112">
        <v>2047</v>
      </c>
      <c r="C30" s="79">
        <v>1.5225460245392792</v>
      </c>
      <c r="I30" s="258"/>
      <c r="J30" s="258"/>
      <c r="K30" s="258"/>
      <c r="L30" s="259"/>
      <c r="M30" s="260"/>
      <c r="O30" s="159"/>
      <c r="P30" s="107"/>
    </row>
    <row r="31" spans="2:16" x14ac:dyDescent="0.2">
      <c r="B31" s="112">
        <v>2048</v>
      </c>
      <c r="C31" s="79">
        <v>1.5529969450300649</v>
      </c>
      <c r="I31" s="258"/>
      <c r="J31" s="258"/>
      <c r="K31" s="258"/>
      <c r="L31" s="259"/>
      <c r="M31" s="260"/>
      <c r="O31" s="159"/>
      <c r="P31" s="107"/>
    </row>
    <row r="32" spans="2:16" x14ac:dyDescent="0.2">
      <c r="B32" s="112">
        <v>2049</v>
      </c>
      <c r="C32" s="79">
        <v>1.5840568839306663</v>
      </c>
      <c r="I32" s="253"/>
      <c r="J32" s="253"/>
      <c r="K32" s="253"/>
      <c r="L32" s="263"/>
      <c r="M32" s="264"/>
      <c r="O32" s="159"/>
      <c r="P32" s="107"/>
    </row>
    <row r="33" spans="2:19" x14ac:dyDescent="0.2">
      <c r="B33" s="112">
        <v>2050</v>
      </c>
      <c r="C33" s="79">
        <v>1.6157380216092796</v>
      </c>
      <c r="I33" s="253"/>
      <c r="J33" s="253"/>
      <c r="K33" s="253"/>
      <c r="L33" s="253"/>
      <c r="M33" s="265"/>
      <c r="O33" s="159"/>
      <c r="P33" s="107"/>
    </row>
    <row r="34" spans="2:19" x14ac:dyDescent="0.2">
      <c r="B34" s="112">
        <v>2051</v>
      </c>
      <c r="C34" s="79">
        <v>1.6480527820414652</v>
      </c>
      <c r="M34" s="266"/>
    </row>
    <row r="35" spans="2:19" x14ac:dyDescent="0.2">
      <c r="B35" s="112">
        <v>2052</v>
      </c>
      <c r="C35" s="79">
        <v>1.6810138376822945</v>
      </c>
    </row>
    <row r="36" spans="2:19" x14ac:dyDescent="0.2">
      <c r="B36" s="112">
        <v>2053</v>
      </c>
      <c r="C36" s="79">
        <v>1.7146341144359405</v>
      </c>
      <c r="M36" s="267"/>
    </row>
    <row r="37" spans="2:19" x14ac:dyDescent="0.2">
      <c r="B37" s="203">
        <v>2054</v>
      </c>
      <c r="C37" s="205">
        <v>1.7489267967246593</v>
      </c>
      <c r="M37" s="268"/>
    </row>
    <row r="38" spans="2:19" x14ac:dyDescent="0.2">
      <c r="M38" s="267"/>
    </row>
    <row r="40" spans="2:19" x14ac:dyDescent="0.2">
      <c r="S40" s="269"/>
    </row>
    <row r="41" spans="2:19" x14ac:dyDescent="0.2">
      <c r="I41" s="7"/>
      <c r="J41" s="7"/>
      <c r="K41" s="7"/>
      <c r="L41" s="7"/>
      <c r="M41" s="7"/>
    </row>
    <row r="42" spans="2:19" x14ac:dyDescent="0.2">
      <c r="B42" s="354" t="s">
        <v>142</v>
      </c>
      <c r="C42" s="355"/>
      <c r="D42" s="355"/>
      <c r="E42" s="355"/>
      <c r="F42" s="356"/>
      <c r="I42" s="7"/>
      <c r="J42" s="7"/>
      <c r="K42" s="7"/>
      <c r="L42" s="7"/>
      <c r="M42" s="7"/>
    </row>
    <row r="43" spans="2:19" x14ac:dyDescent="0.2">
      <c r="B43" s="213" t="s">
        <v>143</v>
      </c>
      <c r="F43" s="270"/>
      <c r="I43" s="7"/>
      <c r="J43" s="7"/>
      <c r="K43" s="7"/>
      <c r="L43" s="7"/>
      <c r="M43" s="7"/>
    </row>
    <row r="44" spans="2:19" x14ac:dyDescent="0.2">
      <c r="B44" s="213"/>
      <c r="F44" s="270"/>
      <c r="I44" s="7"/>
      <c r="J44" s="7"/>
      <c r="K44" s="7"/>
      <c r="L44" s="7"/>
      <c r="M44" s="7"/>
    </row>
    <row r="45" spans="2:19" x14ac:dyDescent="0.2">
      <c r="B45" s="271" t="s">
        <v>118</v>
      </c>
      <c r="F45" s="220">
        <v>30</v>
      </c>
      <c r="I45" s="7"/>
      <c r="J45" s="7"/>
      <c r="K45" s="7"/>
      <c r="L45" s="7"/>
      <c r="M45" s="7"/>
    </row>
    <row r="46" spans="2:19" x14ac:dyDescent="0.2">
      <c r="B46" s="272"/>
      <c r="F46" s="270"/>
      <c r="I46" s="7"/>
      <c r="J46" s="7"/>
      <c r="K46" s="7"/>
      <c r="L46" s="7"/>
      <c r="M46" s="7"/>
    </row>
    <row r="47" spans="2:19" x14ac:dyDescent="0.2">
      <c r="B47" s="273"/>
      <c r="C47" s="216"/>
      <c r="D47" s="221" t="s">
        <v>120</v>
      </c>
      <c r="E47" s="221"/>
      <c r="F47" s="274"/>
      <c r="I47" s="7"/>
      <c r="J47" s="7"/>
      <c r="K47" s="7"/>
      <c r="L47" s="7"/>
      <c r="M47" s="7"/>
    </row>
    <row r="48" spans="2:19" ht="51" x14ac:dyDescent="0.2">
      <c r="B48" s="275" t="s">
        <v>144</v>
      </c>
      <c r="C48" s="223" t="s">
        <v>145</v>
      </c>
      <c r="D48" s="223" t="s">
        <v>122</v>
      </c>
      <c r="E48" s="223" t="s">
        <v>123</v>
      </c>
      <c r="F48" s="223" t="s">
        <v>124</v>
      </c>
      <c r="I48" s="7"/>
      <c r="J48" s="7"/>
      <c r="K48" s="7"/>
      <c r="L48" s="7"/>
      <c r="M48" s="7"/>
    </row>
    <row r="49" spans="2:13" x14ac:dyDescent="0.2">
      <c r="B49" s="276" t="s">
        <v>146</v>
      </c>
      <c r="C49" s="277">
        <v>30</v>
      </c>
      <c r="D49" s="278">
        <v>1.3816999999999999</v>
      </c>
      <c r="E49" s="278">
        <v>1.6067</v>
      </c>
      <c r="F49" s="279">
        <v>2.9883999999999999</v>
      </c>
      <c r="I49" s="7"/>
      <c r="J49" s="7"/>
      <c r="K49" s="7"/>
      <c r="L49" s="7"/>
      <c r="M49" s="7"/>
    </row>
    <row r="50" spans="2:13" x14ac:dyDescent="0.2">
      <c r="B50" s="276" t="s">
        <v>147</v>
      </c>
      <c r="C50" s="277">
        <v>30</v>
      </c>
      <c r="D50" s="278">
        <v>2.72</v>
      </c>
      <c r="E50" s="278">
        <v>2.67</v>
      </c>
      <c r="F50" s="279">
        <v>5.3900000000000006</v>
      </c>
      <c r="I50" s="7"/>
      <c r="J50" s="7"/>
      <c r="K50" s="7"/>
      <c r="L50" s="7"/>
      <c r="M50" s="7"/>
    </row>
    <row r="51" spans="2:13" x14ac:dyDescent="0.2">
      <c r="B51" s="276" t="s">
        <v>148</v>
      </c>
      <c r="C51" s="277">
        <v>30</v>
      </c>
      <c r="D51" s="278">
        <v>1.42</v>
      </c>
      <c r="E51" s="278">
        <v>1.45</v>
      </c>
      <c r="F51" s="279">
        <v>2.87</v>
      </c>
      <c r="I51" s="7"/>
      <c r="J51" s="7"/>
      <c r="K51" s="7"/>
      <c r="L51" s="7"/>
      <c r="M51" s="7"/>
    </row>
    <row r="52" spans="2:13" x14ac:dyDescent="0.2">
      <c r="B52" s="276" t="s">
        <v>149</v>
      </c>
      <c r="C52" s="277">
        <v>30</v>
      </c>
      <c r="D52" s="278">
        <v>2.13</v>
      </c>
      <c r="E52" s="278">
        <v>2.15</v>
      </c>
      <c r="F52" s="279">
        <v>4.2799999999999994</v>
      </c>
    </row>
    <row r="53" spans="2:13" x14ac:dyDescent="0.2">
      <c r="B53" s="276" t="s">
        <v>150</v>
      </c>
      <c r="C53" s="277">
        <v>25</v>
      </c>
      <c r="D53" s="278">
        <v>1.7624</v>
      </c>
      <c r="E53" s="278">
        <v>1.5347999999999999</v>
      </c>
      <c r="F53" s="279">
        <v>3.3706333333333331</v>
      </c>
    </row>
    <row r="54" spans="2:13" x14ac:dyDescent="0.2">
      <c r="B54" s="280"/>
      <c r="C54" s="277">
        <v>5</v>
      </c>
      <c r="D54" s="278">
        <v>2.2029999999999998</v>
      </c>
      <c r="E54" s="278">
        <v>1.5347999999999999</v>
      </c>
      <c r="F54" s="279"/>
    </row>
    <row r="55" spans="2:13" x14ac:dyDescent="0.2">
      <c r="B55" s="280" t="s">
        <v>151</v>
      </c>
      <c r="C55" s="277">
        <v>7</v>
      </c>
      <c r="D55" s="278">
        <v>0</v>
      </c>
      <c r="E55" s="278">
        <v>0</v>
      </c>
      <c r="F55" s="279">
        <v>4.5823966666666669</v>
      </c>
    </row>
    <row r="56" spans="2:13" x14ac:dyDescent="0.2">
      <c r="B56" s="280"/>
      <c r="C56" s="277">
        <v>8</v>
      </c>
      <c r="D56" s="278">
        <v>2.5640000000000001</v>
      </c>
      <c r="E56" s="278">
        <v>2.3582999999999998</v>
      </c>
      <c r="F56" s="279"/>
    </row>
    <row r="57" spans="2:13" x14ac:dyDescent="0.2">
      <c r="B57" s="280"/>
      <c r="C57" s="277">
        <v>10</v>
      </c>
      <c r="D57" s="278">
        <v>3.2738999999999998</v>
      </c>
      <c r="E57" s="278">
        <v>3.0320999999999998</v>
      </c>
      <c r="F57" s="279"/>
    </row>
    <row r="58" spans="2:13" x14ac:dyDescent="0.2">
      <c r="B58" s="280"/>
      <c r="C58" s="277">
        <v>5</v>
      </c>
      <c r="D58" s="278">
        <v>3.6377000000000002</v>
      </c>
      <c r="E58" s="278">
        <v>3.3690000000000002</v>
      </c>
      <c r="F58" s="279"/>
    </row>
    <row r="59" spans="2:13" x14ac:dyDescent="0.2">
      <c r="B59" s="276" t="s">
        <v>152</v>
      </c>
      <c r="C59" s="277">
        <v>30</v>
      </c>
      <c r="D59" s="278">
        <v>1.42</v>
      </c>
      <c r="E59" s="278">
        <v>1.2988739999999999</v>
      </c>
      <c r="F59" s="279">
        <v>2.7188739999999996</v>
      </c>
    </row>
    <row r="60" spans="2:13" x14ac:dyDescent="0.2">
      <c r="B60" s="276" t="s">
        <v>153</v>
      </c>
      <c r="C60" s="277">
        <v>30</v>
      </c>
      <c r="D60" s="278">
        <v>1.83</v>
      </c>
      <c r="E60" s="278">
        <v>2.17</v>
      </c>
      <c r="F60" s="279">
        <v>4</v>
      </c>
    </row>
    <row r="61" spans="2:13" x14ac:dyDescent="0.2">
      <c r="B61" s="276" t="s">
        <v>154</v>
      </c>
      <c r="C61" s="277">
        <v>30</v>
      </c>
      <c r="D61" s="278">
        <v>0.79430000000000001</v>
      </c>
      <c r="E61" s="278">
        <v>1.052924</v>
      </c>
      <c r="F61" s="279">
        <v>1.847224</v>
      </c>
    </row>
    <row r="62" spans="2:13" x14ac:dyDescent="0.2">
      <c r="B62" s="276" t="s">
        <v>155</v>
      </c>
      <c r="C62" s="277">
        <v>15</v>
      </c>
      <c r="D62" s="278">
        <v>1.5585</v>
      </c>
      <c r="E62" s="278">
        <v>1.669</v>
      </c>
      <c r="F62" s="279">
        <v>3.2275</v>
      </c>
    </row>
    <row r="63" spans="2:13" x14ac:dyDescent="0.2">
      <c r="B63" s="276"/>
      <c r="C63" s="277">
        <v>15</v>
      </c>
      <c r="D63" s="278">
        <v>1.5585</v>
      </c>
      <c r="E63" s="278">
        <v>1.669</v>
      </c>
      <c r="F63" s="279"/>
    </row>
    <row r="64" spans="2:13" x14ac:dyDescent="0.2">
      <c r="B64" s="276" t="s">
        <v>156</v>
      </c>
      <c r="C64" s="277">
        <v>30</v>
      </c>
      <c r="D64" s="278">
        <v>2.1850000000000001</v>
      </c>
      <c r="E64" s="278">
        <v>2.45594</v>
      </c>
      <c r="F64" s="279">
        <v>4.6409400000000005</v>
      </c>
    </row>
    <row r="65" spans="2:6" x14ac:dyDescent="0.2">
      <c r="B65" s="276" t="s">
        <v>157</v>
      </c>
      <c r="C65" s="277">
        <v>30</v>
      </c>
      <c r="D65" s="278">
        <v>2.0019999999999998</v>
      </c>
      <c r="E65" s="278">
        <v>1.8018000000000001</v>
      </c>
      <c r="F65" s="279">
        <v>3.8037999999999998</v>
      </c>
    </row>
    <row r="66" spans="2:6" x14ac:dyDescent="0.2">
      <c r="B66" s="276" t="s">
        <v>158</v>
      </c>
      <c r="C66" s="277">
        <v>30</v>
      </c>
      <c r="D66" s="278">
        <v>2.3199999999999998</v>
      </c>
      <c r="E66" s="278">
        <v>2.81</v>
      </c>
      <c r="F66" s="279">
        <v>5.13</v>
      </c>
    </row>
    <row r="67" spans="2:6" x14ac:dyDescent="0.2">
      <c r="B67" s="276" t="s">
        <v>159</v>
      </c>
      <c r="C67" s="277">
        <v>30</v>
      </c>
      <c r="D67" s="278">
        <v>1.85</v>
      </c>
      <c r="E67" s="278">
        <v>3.37</v>
      </c>
      <c r="F67" s="279">
        <v>5.2200000000000006</v>
      </c>
    </row>
    <row r="68" spans="2:6" x14ac:dyDescent="0.2">
      <c r="B68" s="242" t="s">
        <v>160</v>
      </c>
      <c r="C68" s="357"/>
      <c r="D68" s="358"/>
      <c r="E68" s="358"/>
      <c r="F68" s="279">
        <v>3.862126285714286</v>
      </c>
    </row>
  </sheetData>
  <mergeCells count="1">
    <mergeCell ref="B6:C6"/>
  </mergeCells>
  <pageMargins left="0.7" right="0.7" top="0.75" bottom="0.75" header="0.3" footer="0.3"/>
  <pageSetup scale="54"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A142D-1AB7-4C28-A773-4FB0F3B5CA46}">
  <sheetPr>
    <pageSetUpPr fitToPage="1"/>
  </sheetPr>
  <dimension ref="B1:I35"/>
  <sheetViews>
    <sheetView zoomScaleNormal="100" workbookViewId="0">
      <selection activeCell="B36" sqref="B36"/>
    </sheetView>
  </sheetViews>
  <sheetFormatPr defaultColWidth="8.85546875" defaultRowHeight="12.75" x14ac:dyDescent="0.2"/>
  <cols>
    <col min="1" max="1" width="7.140625" style="7" customWidth="1"/>
    <col min="2" max="4" width="17.140625" style="7" customWidth="1"/>
    <col min="5" max="5" width="10.28515625" style="7" bestFit="1" customWidth="1"/>
    <col min="6" max="11" width="17.140625" style="7" customWidth="1"/>
    <col min="12" max="14" width="14.5703125" style="7" customWidth="1"/>
    <col min="15" max="15" width="11.85546875" style="7" customWidth="1"/>
    <col min="16" max="26" width="14.5703125" style="7" customWidth="1"/>
    <col min="27" max="16384" width="8.85546875" style="7"/>
  </cols>
  <sheetData>
    <row r="1" spans="2:9" x14ac:dyDescent="0.2">
      <c r="E1" s="71"/>
      <c r="I1" s="71" t="s">
        <v>0</v>
      </c>
    </row>
    <row r="2" spans="2:9" x14ac:dyDescent="0.2">
      <c r="B2" s="397" t="s">
        <v>161</v>
      </c>
      <c r="C2" s="398"/>
      <c r="D2" s="399"/>
    </row>
    <row r="3" spans="2:9" ht="25.5" x14ac:dyDescent="0.2">
      <c r="B3" s="198" t="s">
        <v>17</v>
      </c>
      <c r="C3" s="359" t="s">
        <v>162</v>
      </c>
      <c r="D3" s="360" t="s">
        <v>163</v>
      </c>
    </row>
    <row r="4" spans="2:9" x14ac:dyDescent="0.2">
      <c r="B4" s="361">
        <v>2025</v>
      </c>
      <c r="C4" s="362">
        <v>0</v>
      </c>
      <c r="D4" s="307">
        <v>0</v>
      </c>
      <c r="F4" s="200" t="s">
        <v>164</v>
      </c>
    </row>
    <row r="5" spans="2:9" x14ac:dyDescent="0.2">
      <c r="B5" s="112">
        <v>2026</v>
      </c>
      <c r="C5" s="159">
        <v>0</v>
      </c>
      <c r="D5" s="79">
        <v>0</v>
      </c>
    </row>
    <row r="6" spans="2:9" x14ac:dyDescent="0.2">
      <c r="B6" s="112">
        <v>2027</v>
      </c>
      <c r="C6" s="159">
        <v>0</v>
      </c>
      <c r="D6" s="79">
        <v>0</v>
      </c>
      <c r="F6" s="200" t="s">
        <v>165</v>
      </c>
    </row>
    <row r="7" spans="2:9" x14ac:dyDescent="0.2">
      <c r="B7" s="112">
        <v>2028</v>
      </c>
      <c r="C7" s="159">
        <v>0</v>
      </c>
      <c r="D7" s="79">
        <v>0</v>
      </c>
    </row>
    <row r="8" spans="2:9" x14ac:dyDescent="0.2">
      <c r="B8" s="112">
        <v>2029</v>
      </c>
      <c r="C8" s="159">
        <v>0</v>
      </c>
      <c r="D8" s="79">
        <v>0</v>
      </c>
    </row>
    <row r="9" spans="2:9" x14ac:dyDescent="0.2">
      <c r="B9" s="112">
        <v>2030</v>
      </c>
      <c r="C9" s="159">
        <v>0</v>
      </c>
      <c r="D9" s="79">
        <v>0</v>
      </c>
    </row>
    <row r="10" spans="2:9" x14ac:dyDescent="0.2">
      <c r="B10" s="112">
        <v>2031</v>
      </c>
      <c r="C10" s="159">
        <v>0</v>
      </c>
      <c r="D10" s="79">
        <v>0</v>
      </c>
    </row>
    <row r="11" spans="2:9" x14ac:dyDescent="0.2">
      <c r="B11" s="112">
        <v>2032</v>
      </c>
      <c r="C11" s="159">
        <v>0</v>
      </c>
      <c r="D11" s="79">
        <v>0</v>
      </c>
    </row>
    <row r="12" spans="2:9" x14ac:dyDescent="0.2">
      <c r="B12" s="112">
        <v>2033</v>
      </c>
      <c r="C12" s="159">
        <v>0</v>
      </c>
      <c r="D12" s="79">
        <v>0</v>
      </c>
    </row>
    <row r="13" spans="2:9" x14ac:dyDescent="0.2">
      <c r="B13" s="112">
        <v>2034</v>
      </c>
      <c r="C13" s="159">
        <v>0</v>
      </c>
      <c r="D13" s="79">
        <v>0</v>
      </c>
    </row>
    <row r="14" spans="2:9" x14ac:dyDescent="0.2">
      <c r="B14" s="112">
        <v>2035</v>
      </c>
      <c r="C14" s="201">
        <v>0</v>
      </c>
      <c r="D14" s="79">
        <v>0</v>
      </c>
      <c r="F14" s="202"/>
    </row>
    <row r="15" spans="2:9" x14ac:dyDescent="0.2">
      <c r="B15" s="112">
        <v>2036</v>
      </c>
      <c r="C15" s="201">
        <v>0</v>
      </c>
      <c r="D15" s="79">
        <v>0</v>
      </c>
      <c r="F15" s="202"/>
    </row>
    <row r="16" spans="2:9" x14ac:dyDescent="0.2">
      <c r="B16" s="112">
        <v>2037</v>
      </c>
      <c r="C16" s="201">
        <v>0</v>
      </c>
      <c r="D16" s="79">
        <v>0</v>
      </c>
      <c r="F16" s="202"/>
    </row>
    <row r="17" spans="2:6" x14ac:dyDescent="0.2">
      <c r="B17" s="112">
        <v>2038</v>
      </c>
      <c r="C17" s="201">
        <v>0</v>
      </c>
      <c r="D17" s="79">
        <v>0</v>
      </c>
      <c r="F17" s="202"/>
    </row>
    <row r="18" spans="2:6" x14ac:dyDescent="0.2">
      <c r="B18" s="112">
        <v>2039</v>
      </c>
      <c r="C18" s="201">
        <v>0</v>
      </c>
      <c r="D18" s="79">
        <v>0</v>
      </c>
      <c r="F18" s="202"/>
    </row>
    <row r="19" spans="2:6" x14ac:dyDescent="0.2">
      <c r="B19" s="112">
        <v>2040</v>
      </c>
      <c r="C19" s="201">
        <v>0</v>
      </c>
      <c r="D19" s="79">
        <v>0</v>
      </c>
      <c r="F19" s="202"/>
    </row>
    <row r="20" spans="2:6" x14ac:dyDescent="0.2">
      <c r="B20" s="112">
        <v>2041</v>
      </c>
      <c r="C20" s="201">
        <v>0</v>
      </c>
      <c r="D20" s="79">
        <v>0</v>
      </c>
      <c r="F20" s="202"/>
    </row>
    <row r="21" spans="2:6" x14ac:dyDescent="0.2">
      <c r="B21" s="112">
        <v>2042</v>
      </c>
      <c r="C21" s="201">
        <v>0</v>
      </c>
      <c r="D21" s="79">
        <v>0</v>
      </c>
      <c r="F21" s="202"/>
    </row>
    <row r="22" spans="2:6" x14ac:dyDescent="0.2">
      <c r="B22" s="112">
        <v>2043</v>
      </c>
      <c r="C22" s="201">
        <v>0</v>
      </c>
      <c r="D22" s="79">
        <v>0</v>
      </c>
      <c r="F22" s="202"/>
    </row>
    <row r="23" spans="2:6" x14ac:dyDescent="0.2">
      <c r="B23" s="112">
        <v>2044</v>
      </c>
      <c r="C23" s="201">
        <v>0</v>
      </c>
      <c r="D23" s="79">
        <v>0</v>
      </c>
      <c r="F23" s="202"/>
    </row>
    <row r="24" spans="2:6" x14ac:dyDescent="0.2">
      <c r="B24" s="112">
        <v>2045</v>
      </c>
      <c r="C24" s="201">
        <v>0</v>
      </c>
      <c r="D24" s="79">
        <v>0</v>
      </c>
      <c r="F24" s="202"/>
    </row>
    <row r="25" spans="2:6" x14ac:dyDescent="0.2">
      <c r="B25" s="112">
        <v>2046</v>
      </c>
      <c r="C25" s="201">
        <v>0</v>
      </c>
      <c r="D25" s="79">
        <v>0</v>
      </c>
      <c r="F25" s="202"/>
    </row>
    <row r="26" spans="2:6" x14ac:dyDescent="0.2">
      <c r="B26" s="112">
        <v>2047</v>
      </c>
      <c r="C26" s="201">
        <v>0</v>
      </c>
      <c r="D26" s="79">
        <v>0</v>
      </c>
      <c r="F26" s="202"/>
    </row>
    <row r="27" spans="2:6" x14ac:dyDescent="0.2">
      <c r="B27" s="112">
        <v>2048</v>
      </c>
      <c r="C27" s="201">
        <v>0</v>
      </c>
      <c r="D27" s="79">
        <v>0</v>
      </c>
      <c r="F27" s="202"/>
    </row>
    <row r="28" spans="2:6" x14ac:dyDescent="0.2">
      <c r="B28" s="112">
        <v>2049</v>
      </c>
      <c r="C28" s="201">
        <v>0</v>
      </c>
      <c r="D28" s="79">
        <v>0</v>
      </c>
      <c r="F28" s="202"/>
    </row>
    <row r="29" spans="2:6" x14ac:dyDescent="0.2">
      <c r="B29" s="112">
        <v>2050</v>
      </c>
      <c r="C29" s="201">
        <v>0</v>
      </c>
      <c r="D29" s="79">
        <v>0</v>
      </c>
      <c r="F29" s="202"/>
    </row>
    <row r="30" spans="2:6" x14ac:dyDescent="0.2">
      <c r="B30" s="112">
        <v>2051</v>
      </c>
      <c r="C30" s="201">
        <v>0</v>
      </c>
      <c r="D30" s="79">
        <v>0</v>
      </c>
      <c r="F30" s="202"/>
    </row>
    <row r="31" spans="2:6" x14ac:dyDescent="0.2">
      <c r="B31" s="112">
        <v>2052</v>
      </c>
      <c r="C31" s="201">
        <v>0</v>
      </c>
      <c r="D31" s="79">
        <v>0</v>
      </c>
      <c r="F31" s="202"/>
    </row>
    <row r="32" spans="2:6" x14ac:dyDescent="0.2">
      <c r="B32" s="112">
        <v>2053</v>
      </c>
      <c r="C32" s="201">
        <v>0</v>
      </c>
      <c r="D32" s="79">
        <v>0</v>
      </c>
      <c r="F32" s="202"/>
    </row>
    <row r="33" spans="2:6" x14ac:dyDescent="0.2">
      <c r="B33" s="203">
        <v>2054</v>
      </c>
      <c r="C33" s="204">
        <v>0</v>
      </c>
      <c r="D33" s="205">
        <v>0</v>
      </c>
      <c r="F33" s="202"/>
    </row>
    <row r="34" spans="2:6" ht="12.75" customHeight="1" x14ac:dyDescent="0.2"/>
    <row r="35" spans="2:6" ht="12.75" customHeight="1" x14ac:dyDescent="0.2"/>
  </sheetData>
  <mergeCells count="1">
    <mergeCell ref="B2:D2"/>
  </mergeCells>
  <hyperlinks>
    <hyperlink ref="F4" r:id="rId1" xr:uid="{C0814EFE-D8FA-4A4A-9783-CD7E361B673F}"/>
    <hyperlink ref="F6" r:id="rId2" xr:uid="{1CDC3953-8AE4-4F04-909C-78815E8AB1F2}"/>
  </hyperlinks>
  <pageMargins left="0.7" right="0.7" top="0.75" bottom="0.75" header="0.3" footer="0.3"/>
  <pageSetup scale="51"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75"/>
  <sheetViews>
    <sheetView zoomScaleNormal="100" workbookViewId="0">
      <selection sqref="A1:XFD1048576"/>
    </sheetView>
  </sheetViews>
  <sheetFormatPr defaultColWidth="9.140625" defaultRowHeight="12.75" zeroHeight="1" x14ac:dyDescent="0.2"/>
  <cols>
    <col min="1" max="1" width="7.140625" style="1" customWidth="1"/>
    <col min="2" max="2" width="45.5703125" style="1" customWidth="1"/>
    <col min="3" max="3" width="20.5703125" style="1" customWidth="1"/>
    <col min="4" max="4" width="7.140625" style="1" customWidth="1"/>
    <col min="5" max="5" width="58.5703125" style="1" customWidth="1"/>
    <col min="6" max="18" width="20.5703125" style="1" customWidth="1"/>
    <col min="19" max="19" width="39.140625" style="1" customWidth="1"/>
    <col min="20" max="20" width="17.140625" style="1" customWidth="1"/>
    <col min="21" max="25" width="9.140625" style="1" customWidth="1"/>
    <col min="26" max="26" width="17.140625" style="1" customWidth="1"/>
    <col min="27" max="16384" width="9.140625" style="1"/>
  </cols>
  <sheetData>
    <row r="1" spans="2:18" x14ac:dyDescent="0.2">
      <c r="B1" s="70" t="s">
        <v>0</v>
      </c>
      <c r="E1" s="70"/>
    </row>
    <row r="2" spans="2:18" x14ac:dyDescent="0.2">
      <c r="B2" s="292" t="s">
        <v>26</v>
      </c>
      <c r="C2" s="293">
        <v>2025</v>
      </c>
      <c r="D2" s="61"/>
      <c r="E2" s="61"/>
      <c r="F2" s="61"/>
      <c r="G2" s="61"/>
      <c r="H2" s="61"/>
      <c r="I2" s="61"/>
      <c r="J2" s="61"/>
      <c r="K2" s="61"/>
      <c r="L2" s="61"/>
      <c r="M2" s="61"/>
      <c r="N2" s="61"/>
      <c r="O2" s="61"/>
      <c r="P2" s="61"/>
      <c r="Q2" s="61"/>
      <c r="R2" s="61"/>
    </row>
    <row r="3" spans="2:18" x14ac:dyDescent="0.2"/>
    <row r="4" spans="2:18" x14ac:dyDescent="0.2">
      <c r="B4" s="292" t="s">
        <v>27</v>
      </c>
      <c r="C4" s="294">
        <v>0.02</v>
      </c>
      <c r="D4" s="62"/>
      <c r="E4" s="65"/>
      <c r="F4" s="62"/>
      <c r="G4" s="62"/>
      <c r="H4" s="62"/>
      <c r="I4" s="62"/>
      <c r="J4" s="62"/>
      <c r="K4" s="62"/>
      <c r="L4" s="62"/>
      <c r="M4" s="62"/>
      <c r="N4" s="62"/>
      <c r="O4" s="62"/>
      <c r="P4" s="62"/>
      <c r="Q4" s="62"/>
      <c r="R4" s="62"/>
    </row>
    <row r="5" spans="2:18" x14ac:dyDescent="0.2">
      <c r="B5" s="292" t="s">
        <v>28</v>
      </c>
      <c r="C5" s="294">
        <v>0.02</v>
      </c>
      <c r="D5" s="62"/>
      <c r="E5" s="62"/>
      <c r="F5" s="62"/>
      <c r="G5" s="62"/>
      <c r="H5" s="62"/>
      <c r="I5" s="62"/>
      <c r="J5" s="62"/>
      <c r="K5" s="62"/>
      <c r="L5" s="62"/>
      <c r="M5" s="62"/>
      <c r="N5" s="62"/>
      <c r="O5" s="62"/>
      <c r="P5" s="62"/>
      <c r="Q5" s="62"/>
      <c r="R5" s="62"/>
    </row>
    <row r="6" spans="2:18" x14ac:dyDescent="0.2">
      <c r="B6" s="292" t="s">
        <v>29</v>
      </c>
      <c r="C6" s="294">
        <v>0.04</v>
      </c>
    </row>
    <row r="7" spans="2:18" x14ac:dyDescent="0.2">
      <c r="B7" s="292" t="s">
        <v>30</v>
      </c>
      <c r="C7" s="294">
        <f>(1+C5)*(1+C6)-1</f>
        <v>6.0799999999999965E-2</v>
      </c>
      <c r="D7" s="63"/>
      <c r="E7" s="63" t="s">
        <v>31</v>
      </c>
      <c r="F7" s="63"/>
      <c r="G7" s="63"/>
      <c r="H7" s="63"/>
      <c r="I7" s="63"/>
      <c r="J7" s="63"/>
      <c r="K7" s="63"/>
      <c r="L7" s="63"/>
      <c r="M7" s="63"/>
      <c r="N7" s="63"/>
      <c r="O7" s="63"/>
      <c r="P7" s="63"/>
      <c r="Q7" s="63"/>
      <c r="R7" s="63"/>
    </row>
    <row r="8" spans="2:18" x14ac:dyDescent="0.2">
      <c r="D8" s="64"/>
      <c r="E8" s="64"/>
      <c r="F8" s="64"/>
      <c r="G8" s="64"/>
      <c r="H8" s="64"/>
      <c r="I8" s="64"/>
      <c r="J8" s="64"/>
      <c r="K8" s="64"/>
      <c r="L8" s="64"/>
      <c r="M8" s="64"/>
      <c r="N8" s="64"/>
      <c r="O8" s="64"/>
      <c r="P8" s="64"/>
      <c r="Q8" s="64"/>
      <c r="R8" s="64"/>
    </row>
    <row r="9" spans="2:18" x14ac:dyDescent="0.2">
      <c r="B9" s="292" t="s">
        <v>32</v>
      </c>
      <c r="C9" s="295">
        <v>1.35</v>
      </c>
      <c r="D9" s="64"/>
      <c r="E9" s="64" t="s">
        <v>33</v>
      </c>
      <c r="F9" s="64"/>
      <c r="G9" s="64"/>
      <c r="H9" s="64"/>
      <c r="I9" s="64"/>
      <c r="J9" s="64"/>
      <c r="K9" s="64"/>
      <c r="L9" s="64"/>
      <c r="M9" s="64"/>
      <c r="N9" s="64"/>
      <c r="O9" s="64"/>
      <c r="P9" s="64"/>
      <c r="Q9" s="64"/>
      <c r="R9" s="64"/>
    </row>
    <row r="10" spans="2:18" x14ac:dyDescent="0.2">
      <c r="B10" s="292" t="s">
        <v>34</v>
      </c>
      <c r="C10" s="296">
        <v>3.909E-2</v>
      </c>
      <c r="E10" s="1" t="s">
        <v>35</v>
      </c>
    </row>
    <row r="11" spans="2:18" x14ac:dyDescent="0.2">
      <c r="B11" s="292" t="s">
        <v>36</v>
      </c>
      <c r="C11" s="297">
        <v>3.7050166057536284E-2</v>
      </c>
    </row>
    <row r="12" spans="2:18" x14ac:dyDescent="0.2"/>
    <row r="13" spans="2:18" x14ac:dyDescent="0.2"/>
    <row r="14" spans="2:18" x14ac:dyDescent="0.2"/>
    <row r="15" spans="2:18" x14ac:dyDescent="0.2"/>
    <row r="16" spans="2:18" x14ac:dyDescent="0.2"/>
    <row r="17" spans="2:2" x14ac:dyDescent="0.2">
      <c r="B17" s="51"/>
    </row>
    <row r="18" spans="2:2" x14ac:dyDescent="0.2"/>
    <row r="19" spans="2:2" x14ac:dyDescent="0.2"/>
    <row r="20" spans="2:2" x14ac:dyDescent="0.2"/>
    <row r="21" spans="2:2" x14ac:dyDescent="0.2"/>
    <row r="22" spans="2:2" x14ac:dyDescent="0.2"/>
    <row r="23" spans="2:2" x14ac:dyDescent="0.2"/>
    <row r="24" spans="2:2" x14ac:dyDescent="0.2"/>
    <row r="25" spans="2:2" x14ac:dyDescent="0.2"/>
    <row r="26" spans="2:2" x14ac:dyDescent="0.2"/>
    <row r="27" spans="2:2" x14ac:dyDescent="0.2"/>
    <row r="28" spans="2:2" x14ac:dyDescent="0.2"/>
    <row r="29" spans="2:2" x14ac:dyDescent="0.2"/>
    <row r="30" spans="2:2" x14ac:dyDescent="0.2"/>
    <row r="31" spans="2:2" x14ac:dyDescent="0.2"/>
    <row r="32" spans="2:2"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sheetData>
  <phoneticPr fontId="19" type="noConversion"/>
  <printOptions horizontalCentered="1"/>
  <pageMargins left="0.45" right="0.7" top="0.75" bottom="0.75" header="0.3" footer="0.3"/>
  <pageSetup scale="5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42"/>
  <sheetViews>
    <sheetView workbookViewId="0">
      <selection activeCell="B1" sqref="B1"/>
    </sheetView>
  </sheetViews>
  <sheetFormatPr defaultColWidth="8.85546875" defaultRowHeight="12.75" x14ac:dyDescent="0.2"/>
  <cols>
    <col min="1" max="1" width="7.140625" style="1" customWidth="1"/>
    <col min="2" max="7" width="10.85546875" style="1" customWidth="1"/>
    <col min="8" max="16384" width="8.85546875" style="1"/>
  </cols>
  <sheetData>
    <row r="1" spans="1:12" x14ac:dyDescent="0.2">
      <c r="B1" s="70" t="s">
        <v>0</v>
      </c>
    </row>
    <row r="2" spans="1:12" x14ac:dyDescent="0.2">
      <c r="A2" s="167"/>
      <c r="B2" s="169" t="s">
        <v>37</v>
      </c>
      <c r="C2" s="169"/>
      <c r="D2" s="45"/>
      <c r="E2" s="45"/>
      <c r="F2" s="45"/>
      <c r="G2" s="45"/>
    </row>
    <row r="3" spans="1:12" x14ac:dyDescent="0.2">
      <c r="A3" s="44"/>
      <c r="B3" s="45"/>
      <c r="C3" s="45"/>
      <c r="D3" s="45"/>
      <c r="E3" s="45"/>
      <c r="F3" s="45"/>
      <c r="G3" s="45"/>
    </row>
    <row r="4" spans="1:12" ht="12.75" customHeight="1" x14ac:dyDescent="0.2">
      <c r="A4" s="44"/>
      <c r="B4" s="373" t="s">
        <v>5</v>
      </c>
      <c r="C4" s="374"/>
      <c r="D4" s="298">
        <f>'General Inputs'!C5</f>
        <v>0.02</v>
      </c>
      <c r="F4" s="45"/>
      <c r="G4" s="45"/>
    </row>
    <row r="5" spans="1:12" ht="12.75" customHeight="1" x14ac:dyDescent="0.2">
      <c r="A5" s="44"/>
      <c r="B5" s="373" t="s">
        <v>30</v>
      </c>
      <c r="C5" s="374"/>
      <c r="D5" s="298">
        <f>'General Inputs'!C7</f>
        <v>6.0799999999999965E-2</v>
      </c>
      <c r="F5" s="46"/>
      <c r="G5" s="45"/>
    </row>
    <row r="6" spans="1:12" x14ac:dyDescent="0.2">
      <c r="A6" s="44"/>
      <c r="B6" s="45"/>
      <c r="C6" s="45"/>
      <c r="D6" s="45"/>
      <c r="E6" s="45"/>
      <c r="F6" s="45"/>
      <c r="G6" s="45"/>
    </row>
    <row r="7" spans="1:12" ht="13.35" customHeight="1" x14ac:dyDescent="0.2">
      <c r="A7" s="44"/>
      <c r="B7" s="363" t="s">
        <v>38</v>
      </c>
      <c r="C7" s="364"/>
      <c r="D7" s="364"/>
      <c r="E7" s="364"/>
      <c r="F7" s="365"/>
      <c r="G7" s="45"/>
      <c r="H7" s="363" t="s">
        <v>39</v>
      </c>
      <c r="I7" s="364"/>
      <c r="J7" s="365"/>
      <c r="K7" s="244"/>
      <c r="L7" s="1" t="s">
        <v>40</v>
      </c>
    </row>
    <row r="8" spans="1:12" ht="13.35" customHeight="1" x14ac:dyDescent="0.2">
      <c r="A8" s="44"/>
      <c r="B8" s="170"/>
      <c r="C8" s="366" t="s">
        <v>15</v>
      </c>
      <c r="D8" s="366"/>
      <c r="E8" s="366" t="s">
        <v>16</v>
      </c>
      <c r="F8" s="367"/>
      <c r="G8" s="45"/>
      <c r="H8" s="245"/>
      <c r="I8" s="246"/>
      <c r="J8" s="247"/>
      <c r="K8" s="45"/>
    </row>
    <row r="9" spans="1:12" x14ac:dyDescent="0.2">
      <c r="A9" s="44"/>
      <c r="B9" s="50" t="s">
        <v>17</v>
      </c>
      <c r="C9" s="171" t="s">
        <v>18</v>
      </c>
      <c r="D9" s="282" t="s">
        <v>19</v>
      </c>
      <c r="E9" s="101" t="s">
        <v>18</v>
      </c>
      <c r="F9" s="283" t="s">
        <v>19</v>
      </c>
      <c r="G9" s="45"/>
      <c r="H9" s="170" t="str">
        <f>'2027 EGI Avoided Costs'!H9</f>
        <v>Year</v>
      </c>
      <c r="I9" s="101" t="s">
        <v>18</v>
      </c>
      <c r="J9" s="105" t="s">
        <v>19</v>
      </c>
      <c r="K9" s="45"/>
    </row>
    <row r="10" spans="1:12" x14ac:dyDescent="0.2">
      <c r="A10" s="44"/>
      <c r="B10" s="97">
        <v>2025</v>
      </c>
      <c r="C10" s="251">
        <f>'EGD SENDOUT Report'!I4+'EGD Avoided DS Infrastructure'!C14+'EGD Avoided DS Infrastructure'!E14+'EGD Avoided UFG'!C7</f>
        <v>0.15132871670165651</v>
      </c>
      <c r="D10" s="32">
        <f>C10</f>
        <v>0.15132871670165651</v>
      </c>
      <c r="E10" s="251">
        <f>'EGD SENDOUT Report'!J4+'EGD Avoided DS Infrastructure'!D14+'EGD Avoided DS Infrastructure'!F14+'EGD Avoided UFG'!D7</f>
        <v>0.16836546046210835</v>
      </c>
      <c r="F10" s="102">
        <f>E10</f>
        <v>0.16836546046210835</v>
      </c>
      <c r="G10" s="45"/>
      <c r="H10" s="252">
        <f t="shared" ref="H10:H39" si="0">B10</f>
        <v>2025</v>
      </c>
      <c r="I10" s="251">
        <f>'EGD Avoided Water'!C8</f>
        <v>1.0974195307255399</v>
      </c>
      <c r="J10" s="199">
        <f>I10</f>
        <v>1.0974195307255399</v>
      </c>
      <c r="K10" s="45"/>
    </row>
    <row r="11" spans="1:12" x14ac:dyDescent="0.2">
      <c r="A11" s="44"/>
      <c r="B11" s="97">
        <v>2026</v>
      </c>
      <c r="C11" s="47">
        <f>'EGD SENDOUT Report'!I5+'EGD Avoided DS Infrastructure'!C15+'EGD Avoided DS Infrastructure'!E15+'EGD Avoided UFG'!C8</f>
        <v>0.17735048301776266</v>
      </c>
      <c r="D11" s="32">
        <f>NPV($D$5,C11:C$11)+D$10</f>
        <v>0.31851431532322766</v>
      </c>
      <c r="E11" s="47">
        <f>'EGD SENDOUT Report'!J5+'EGD Avoided DS Infrastructure'!D15+'EGD Avoided DS Infrastructure'!F15+'EGD Avoided UFG'!D8</f>
        <v>0.19469830213015379</v>
      </c>
      <c r="F11" s="103">
        <f>NPV($D$5,E11:E$11)+F$10</f>
        <v>0.35190458388796975</v>
      </c>
      <c r="G11" s="45"/>
      <c r="H11" s="97">
        <f t="shared" si="0"/>
        <v>2026</v>
      </c>
      <c r="I11" s="47">
        <f>'EGD Avoided Water'!C9</f>
        <v>1.1193679213400507</v>
      </c>
      <c r="J11" s="79">
        <f>NPV($D$5,I$11:I11)+J$10</f>
        <v>2.1526306179616359</v>
      </c>
      <c r="K11" s="45"/>
    </row>
    <row r="12" spans="1:12" x14ac:dyDescent="0.2">
      <c r="A12" s="44"/>
      <c r="B12" s="97">
        <v>2027</v>
      </c>
      <c r="C12" s="47">
        <f>'EGD SENDOUT Report'!I6+'EGD Avoided DS Infrastructure'!C16+'EGD Avoided DS Infrastructure'!E16+'EGD Avoided UFG'!C9</f>
        <v>0.18372681543973363</v>
      </c>
      <c r="D12" s="32">
        <f>NPV($D$5,C$11:C12)+D$10</f>
        <v>0.48178398921093579</v>
      </c>
      <c r="E12" s="47">
        <f>'EGD SENDOUT Report'!J6+'EGD Avoided DS Infrastructure'!D16+'EGD Avoided DS Infrastructure'!F16+'EGD Avoided UFG'!D9</f>
        <v>0.19840451496086098</v>
      </c>
      <c r="F12" s="103">
        <f>NPV($D$5,E$11:E12)+F$10</f>
        <v>0.52821766250949753</v>
      </c>
      <c r="G12" s="45"/>
      <c r="H12" s="97">
        <f t="shared" si="0"/>
        <v>2027</v>
      </c>
      <c r="I12" s="47">
        <f>'EGD Avoided Water'!C10</f>
        <v>1.1417552797668518</v>
      </c>
      <c r="J12" s="79">
        <f>NPV($D$5,I$11:I12)+J$10</f>
        <v>3.1672566633809591</v>
      </c>
      <c r="K12" s="45"/>
    </row>
    <row r="13" spans="1:12" x14ac:dyDescent="0.2">
      <c r="A13" s="44"/>
      <c r="B13" s="97">
        <v>2028</v>
      </c>
      <c r="C13" s="47">
        <f>'EGD SENDOUT Report'!I7+'EGD Avoided DS Infrastructure'!C17+'EGD Avoided DS Infrastructure'!E17+'EGD Avoided UFG'!C10</f>
        <v>0.21884817620938446</v>
      </c>
      <c r="D13" s="32">
        <f>NPV($D$5,C$11:C13)+D$10</f>
        <v>0.66511772939374014</v>
      </c>
      <c r="E13" s="47">
        <f>'EGD SENDOUT Report'!J7+'EGD Avoided DS Infrastructure'!D17+'EGD Avoided DS Infrastructure'!F17+'EGD Avoided UFG'!D10</f>
        <v>0.23260319608744504</v>
      </c>
      <c r="F13" s="103">
        <f>NPV($D$5,E$11:E13)+F$10</f>
        <v>0.72307427340665942</v>
      </c>
      <c r="G13" s="45"/>
      <c r="H13" s="97">
        <f t="shared" si="0"/>
        <v>2028</v>
      </c>
      <c r="I13" s="47">
        <f>'EGD Avoided Water'!C11</f>
        <v>1.1645903853621888</v>
      </c>
      <c r="J13" s="79">
        <f>NPV($D$5,I$11:I13)+J$10</f>
        <v>4.1428586301303083</v>
      </c>
      <c r="K13" s="45"/>
    </row>
    <row r="14" spans="1:12" x14ac:dyDescent="0.2">
      <c r="A14" s="44"/>
      <c r="B14" s="97">
        <v>2029</v>
      </c>
      <c r="C14" s="47">
        <f>'EGD SENDOUT Report'!I8+'EGD Avoided DS Infrastructure'!C18+'EGD Avoided DS Infrastructure'!E18+'EGD Avoided UFG'!C11</f>
        <v>0.22893143480735839</v>
      </c>
      <c r="D14" s="32">
        <f>NPV($D$5,C$11:C14)+D$10</f>
        <v>0.84590647271025288</v>
      </c>
      <c r="E14" s="47">
        <f>'EGD SENDOUT Report'!J8+'EGD Avoided DS Infrastructure'!D18+'EGD Avoided DS Infrastructure'!F18+'EGD Avoided UFG'!D11</f>
        <v>0.24296155508298017</v>
      </c>
      <c r="F14" s="103">
        <f>NPV($D$5,E$11:E14)+F$10</f>
        <v>0.91494270010236201</v>
      </c>
      <c r="G14" s="45"/>
      <c r="H14" s="97">
        <f t="shared" si="0"/>
        <v>2029</v>
      </c>
      <c r="I14" s="47">
        <f>'EGD Avoided Water'!C12</f>
        <v>1.1878821930694325</v>
      </c>
      <c r="J14" s="79">
        <f>NPV($D$5,I$11:I14)+J$10</f>
        <v>5.0809374443123758</v>
      </c>
      <c r="K14" s="45"/>
    </row>
    <row r="15" spans="1:12" x14ac:dyDescent="0.2">
      <c r="A15" s="44"/>
      <c r="B15" s="97">
        <v>2030</v>
      </c>
      <c r="C15" s="47">
        <f>'EGD SENDOUT Report'!I9+'EGD Avoided DS Infrastructure'!C19+'EGD Avoided DS Infrastructure'!E19+'EGD Avoided UFG'!C12</f>
        <v>0.24677351399308622</v>
      </c>
      <c r="D15" s="32">
        <f>NPV($D$5,C$11:C15)+D$10</f>
        <v>1.0296157082963679</v>
      </c>
      <c r="E15" s="47">
        <f>'EGD SENDOUT Report'!J9+'EGD Avoided DS Infrastructure'!D19+'EGD Avoided DS Infrastructure'!F19+'EGD Avoided UFG'!D12</f>
        <v>0.26108423667422043</v>
      </c>
      <c r="F15" s="103">
        <f>NPV($D$5,E$11:E15)+F$10</f>
        <v>1.1093054773992366</v>
      </c>
      <c r="G15" s="45"/>
      <c r="H15" s="97">
        <f t="shared" si="0"/>
        <v>2030</v>
      </c>
      <c r="I15" s="47">
        <f>'EGD Avoided Water'!C13</f>
        <v>1.2116398369308212</v>
      </c>
      <c r="J15" s="79">
        <f>NPV($D$5,I$11:I15)+J$10</f>
        <v>5.9829363041028252</v>
      </c>
      <c r="K15" s="45"/>
    </row>
    <row r="16" spans="1:12" x14ac:dyDescent="0.2">
      <c r="A16" s="44"/>
      <c r="B16" s="97">
        <v>2031</v>
      </c>
      <c r="C16" s="47">
        <f>'EGD SENDOUT Report'!I10+'EGD Avoided DS Infrastructure'!C20+'EGD Avoided DS Infrastructure'!E20+'EGD Avoided UFG'!C13</f>
        <v>0.26064375574425458</v>
      </c>
      <c r="D16" s="32">
        <f>NPV($D$5,C$11:C16)+D$10</f>
        <v>1.2125294183277939</v>
      </c>
      <c r="E16" s="47">
        <f>'EGD SENDOUT Report'!J10+'EGD Avoided DS Infrastructure'!D20+'EGD Avoided DS Infrastructure'!F20+'EGD Avoided UFG'!D13</f>
        <v>0.27524069287901154</v>
      </c>
      <c r="F16" s="103">
        <f>NPV($D$5,E$11:E16)+F$10</f>
        <v>1.3024629775371621</v>
      </c>
      <c r="G16" s="45"/>
      <c r="H16" s="97">
        <f t="shared" si="0"/>
        <v>2031</v>
      </c>
      <c r="I16" s="47">
        <f>'EGD Avoided Water'!C14</f>
        <v>1.2358726336694377</v>
      </c>
      <c r="J16" s="79">
        <f>NPV($D$5,I$11:I16)+J$10</f>
        <v>6.8502429000551786</v>
      </c>
      <c r="K16" s="45"/>
    </row>
    <row r="17" spans="1:11" x14ac:dyDescent="0.2">
      <c r="A17" s="44"/>
      <c r="B17" s="97">
        <v>2032</v>
      </c>
      <c r="C17" s="47">
        <f>'EGD SENDOUT Report'!I11+'EGD Avoided DS Infrastructure'!C21+'EGD Avoided DS Infrastructure'!E21+'EGD Avoided UFG'!C14</f>
        <v>0.25852166935239923</v>
      </c>
      <c r="D17" s="32">
        <f>NPV($D$5,C$11:C17)+D$10</f>
        <v>1.3835555111680193</v>
      </c>
      <c r="E17" s="47">
        <f>'EGD SENDOUT Report'!J11+'EGD Avoided DS Infrastructure'!D21+'EGD Avoided DS Infrastructure'!F21+'EGD Avoided UFG'!D14</f>
        <v>0.27341054522985125</v>
      </c>
      <c r="F17" s="103">
        <f>NPV($D$5,E$11:E17)+F$10</f>
        <v>1.4833388685567142</v>
      </c>
      <c r="G17" s="45"/>
      <c r="H17" s="97">
        <f t="shared" si="0"/>
        <v>2032</v>
      </c>
      <c r="I17" s="47">
        <f>'EGD Avoided Water'!C15</f>
        <v>1.2605900863428265</v>
      </c>
      <c r="J17" s="79">
        <f>NPV($D$5,I$11:I17)+J$10</f>
        <v>7.6841915500093663</v>
      </c>
      <c r="K17" s="45"/>
    </row>
    <row r="18" spans="1:11" x14ac:dyDescent="0.2">
      <c r="A18" s="44"/>
      <c r="B18" s="97">
        <v>2033</v>
      </c>
      <c r="C18" s="47">
        <f>'EGD SENDOUT Report'!I12+'EGD Avoided DS Infrastructure'!C22+'EGD Avoided DS Infrastructure'!E22+'EGD Avoided UFG'!C15</f>
        <v>0.27139971545759506</v>
      </c>
      <c r="D18" s="32">
        <f>NPV($D$5,C$11:C18)+D$10</f>
        <v>1.5528104302517143</v>
      </c>
      <c r="E18" s="47">
        <f>'EGD SENDOUT Report'!J12+'EGD Avoided DS Infrastructure'!D22+'EGD Avoided DS Infrastructure'!F22+'EGD Avoided UFG'!D15</f>
        <v>0.28658636885259614</v>
      </c>
      <c r="F18" s="103">
        <f>NPV($D$5,E$11:E18)+F$10</f>
        <v>1.6620647474282229</v>
      </c>
      <c r="G18" s="45"/>
      <c r="H18" s="97">
        <f t="shared" si="0"/>
        <v>2033</v>
      </c>
      <c r="I18" s="47">
        <f>'EGD Avoided Water'!C16</f>
        <v>1.2858018880696831</v>
      </c>
      <c r="J18" s="79">
        <f>NPV($D$5,I$11:I18)+J$10</f>
        <v>8.4860652518883928</v>
      </c>
      <c r="K18" s="45"/>
    </row>
    <row r="19" spans="1:11" x14ac:dyDescent="0.2">
      <c r="A19" s="44"/>
      <c r="B19" s="97">
        <v>2034</v>
      </c>
      <c r="C19" s="47">
        <f>'EGD SENDOUT Report'!I13+'EGD Avoided DS Infrastructure'!C23+'EGD Avoided DS Infrastructure'!E23+'EGD Avoided UFG'!C16</f>
        <v>0.28047603026250018</v>
      </c>
      <c r="D19" s="32">
        <f>NPV($D$5,C$11:C19)+D$10</f>
        <v>1.7177003673863802</v>
      </c>
      <c r="E19" s="47">
        <f>'EGD SENDOUT Report'!J13+'EGD Avoided DS Infrastructure'!D23+'EGD Avoided DS Infrastructure'!F23+'EGD Avoided UFG'!D16</f>
        <v>0.2959664167254013</v>
      </c>
      <c r="F19" s="103">
        <f>NPV($D$5,E$11:E19)+F$10</f>
        <v>1.8360613766665561</v>
      </c>
      <c r="G19" s="45"/>
      <c r="H19" s="97">
        <f t="shared" si="0"/>
        <v>2034</v>
      </c>
      <c r="I19" s="47">
        <f>'EGD Avoided Water'!C17</f>
        <v>1.3115179258310767</v>
      </c>
      <c r="J19" s="79">
        <f>NPV($D$5,I$11:I19)+J$10</f>
        <v>9.2570976575413013</v>
      </c>
      <c r="K19" s="45"/>
    </row>
    <row r="20" spans="1:11" x14ac:dyDescent="0.2">
      <c r="A20" s="44"/>
      <c r="B20" s="97">
        <v>2035</v>
      </c>
      <c r="C20" s="47">
        <f>'EGD SENDOUT Report'!I14+'EGD Avoided DS Infrastructure'!C24+'EGD Avoided DS Infrastructure'!E24+'EGD Avoided UFG'!C17</f>
        <v>0.28709663735503821</v>
      </c>
      <c r="D20" s="32">
        <f>NPV($D$5,C$11:C20)+D$10</f>
        <v>1.8768087258875394</v>
      </c>
      <c r="E20" s="47">
        <f>'EGD SENDOUT Report'!J14+'EGD Avoided DS Infrastructure'!D24+'EGD Avoided DS Infrastructure'!F24+'EGD Avoided UFG'!D17</f>
        <v>0.30289683154719738</v>
      </c>
      <c r="F20" s="103">
        <f>NPV($D$5,E$11:E20)+F$10</f>
        <v>2.0039261698827797</v>
      </c>
      <c r="G20" s="45"/>
      <c r="H20" s="97">
        <f t="shared" si="0"/>
        <v>2035</v>
      </c>
      <c r="I20" s="47">
        <f>'EGD Avoided Water'!C18</f>
        <v>1.3377482843476982</v>
      </c>
      <c r="J20" s="79">
        <f>NPV($D$5,I$11:I20)+J$10</f>
        <v>9.9984749706690987</v>
      </c>
      <c r="K20" s="45"/>
    </row>
    <row r="21" spans="1:11" x14ac:dyDescent="0.2">
      <c r="A21" s="44"/>
      <c r="B21" s="97">
        <v>2036</v>
      </c>
      <c r="C21" s="47">
        <f>'EGD SENDOUT Report'!I15+'EGD Avoided DS Infrastructure'!C25+'EGD Avoided DS Infrastructure'!E25+'EGD Avoided UFG'!C18</f>
        <v>0.29182600669776426</v>
      </c>
      <c r="D21" s="32">
        <f>NPV($D$5,C$11:C21)+D$10</f>
        <v>2.0292685346557238</v>
      </c>
      <c r="E21" s="47">
        <f>'EGD SENDOUT Report'!J15+'EGD Avoided DS Infrastructure'!D25+'EGD Avoided DS Infrastructure'!F25+'EGD Avoided UFG'!D18</f>
        <v>0.3079422047737666</v>
      </c>
      <c r="F21" s="103">
        <f>NPV($D$5,E$11:E21)+F$10</f>
        <v>2.1648056274154497</v>
      </c>
      <c r="G21" s="45"/>
      <c r="H21" s="97">
        <f t="shared" si="0"/>
        <v>2036</v>
      </c>
      <c r="I21" s="47">
        <f>'EGD Avoided Water'!C19</f>
        <v>1.3645032500346521</v>
      </c>
      <c r="J21" s="79">
        <f>NPV($D$5,I$11:I21)+J$10</f>
        <v>10.71133777175352</v>
      </c>
      <c r="K21" s="45"/>
    </row>
    <row r="22" spans="1:11" x14ac:dyDescent="0.2">
      <c r="A22" s="44"/>
      <c r="B22" s="97">
        <v>2037</v>
      </c>
      <c r="C22" s="47">
        <f>'EGD SENDOUT Report'!I16+'EGD Avoided DS Infrastructure'!C26+'EGD Avoided DS Infrastructure'!E26+'EGD Avoided UFG'!C19</f>
        <v>0.29453126543766828</v>
      </c>
      <c r="D22" s="32">
        <f>NPV($D$5,C$11:C22)+D$10</f>
        <v>2.1743223881008431</v>
      </c>
      <c r="E22" s="47">
        <f>'EGD SENDOUT Report'!J16+'EGD Avoided DS Infrastructure'!D26+'EGD Avoided DS Infrastructure'!F26+'EGD Avoided UFG'!D19</f>
        <v>0.31096978747519066</v>
      </c>
      <c r="F22" s="103">
        <f>NPV($D$5,E$11:E22)+F$10</f>
        <v>2.3179552969802666</v>
      </c>
      <c r="G22" s="45"/>
      <c r="H22" s="97">
        <f t="shared" si="0"/>
        <v>2037</v>
      </c>
      <c r="I22" s="47">
        <f>'EGD Avoided Water'!C20</f>
        <v>1.3917933150353452</v>
      </c>
      <c r="J22" s="79">
        <f>NPV($D$5,I$11:I22)+J$10</f>
        <v>11.396782772796232</v>
      </c>
      <c r="K22" s="45"/>
    </row>
    <row r="23" spans="1:11" x14ac:dyDescent="0.2">
      <c r="A23" s="44"/>
      <c r="B23" s="97">
        <v>2038</v>
      </c>
      <c r="C23" s="47">
        <f>'EGD SENDOUT Report'!I17+'EGD Avoided DS Infrastructure'!C27+'EGD Avoided DS Infrastructure'!E27+'EGD Avoided UFG'!C20</f>
        <v>0.29921613424652188</v>
      </c>
      <c r="D23" s="32">
        <f>NPV($D$5,C$11:C23)+D$10</f>
        <v>2.3132374586882731</v>
      </c>
      <c r="E23" s="47">
        <f>'EGD SENDOUT Report'!J17+'EGD Avoided DS Infrastructure'!D27+'EGD Avoided DS Infrastructure'!F27+'EGD Avoided UFG'!D20</f>
        <v>0.31598342672479468</v>
      </c>
      <c r="F23" s="103">
        <f>NPV($D$5,E$11:E23)+F$10</f>
        <v>2.4646548061443281</v>
      </c>
      <c r="G23" s="45"/>
      <c r="H23" s="97">
        <f t="shared" si="0"/>
        <v>2038</v>
      </c>
      <c r="I23" s="47">
        <f>'EGD Avoided Water'!C21</f>
        <v>1.4196291813360522</v>
      </c>
      <c r="J23" s="79">
        <f>NPV($D$5,I$11:I23)+J$10</f>
        <v>12.055864504568071</v>
      </c>
      <c r="K23" s="45"/>
    </row>
    <row r="24" spans="1:11" x14ac:dyDescent="0.2">
      <c r="A24" s="44"/>
      <c r="B24" s="97">
        <v>2039</v>
      </c>
      <c r="C24" s="47">
        <f>'EGD SENDOUT Report'!I18+'EGD Avoided DS Infrastructure'!C28+'EGD Avoided DS Infrastructure'!E28+'EGD Avoided UFG'!C21</f>
        <v>0.31629831428806188</v>
      </c>
      <c r="D24" s="32">
        <f>NPV($D$5,C$11:C24)+D$10</f>
        <v>2.4516666629718689</v>
      </c>
      <c r="E24" s="47">
        <f>'EGD SENDOUT Report'!J18+'EGD Avoided DS Infrastructure'!D28+'EGD Avoided DS Infrastructure'!F28+'EGD Avoided UFG'!D21</f>
        <v>0.33340095261590025</v>
      </c>
      <c r="F24" s="103">
        <f>NPV($D$5,E$11:E24)+F$10</f>
        <v>2.6105690475208387</v>
      </c>
      <c r="G24" s="45"/>
      <c r="H24" s="97">
        <f t="shared" si="0"/>
        <v>2039</v>
      </c>
      <c r="I24" s="47">
        <f>'EGD Avoided Water'!C22</f>
        <v>1.4480217649627734</v>
      </c>
      <c r="J24" s="79">
        <f>NPV($D$5,I$11:I24)+J$10</f>
        <v>12.689596938964069</v>
      </c>
      <c r="K24" s="45"/>
    </row>
    <row r="25" spans="1:11" x14ac:dyDescent="0.2">
      <c r="A25" s="44"/>
      <c r="B25" s="97">
        <v>2040</v>
      </c>
      <c r="C25" s="47">
        <f>'EGD SENDOUT Report'!I19+'EGD Avoided DS Infrastructure'!C29+'EGD Avoided DS Infrastructure'!E29+'EGD Avoided UFG'!C22</f>
        <v>0.32933169974590509</v>
      </c>
      <c r="D25" s="32">
        <f>NPV($D$5,C$11:C25)+D$10</f>
        <v>2.5875389450368678</v>
      </c>
      <c r="E25" s="47">
        <f>'EGD SENDOUT Report'!J19+'EGD Avoided DS Infrastructure'!D29+'EGD Avoided DS Infrastructure'!F29+'EGD Avoided UFG'!D22</f>
        <v>0.34677639084030015</v>
      </c>
      <c r="F25" s="103">
        <f>NPV($D$5,E$11:E25)+F$10</f>
        <v>2.753638480636718</v>
      </c>
      <c r="G25" s="45"/>
      <c r="H25" s="97">
        <f t="shared" si="0"/>
        <v>2040</v>
      </c>
      <c r="I25" s="47">
        <f>'EGD Avoided Water'!C23</f>
        <v>1.4769822002620288</v>
      </c>
      <c r="J25" s="79">
        <f>NPV($D$5,I$11:I25)+J$10</f>
        <v>13.29895504896022</v>
      </c>
      <c r="K25" s="45"/>
    </row>
    <row r="26" spans="1:11" x14ac:dyDescent="0.2">
      <c r="A26" s="44"/>
      <c r="B26" s="97">
        <v>2041</v>
      </c>
      <c r="C26" s="47">
        <f>'EGD SENDOUT Report'!I20+'EGD Avoided DS Infrastructure'!C30+'EGD Avoided DS Infrastructure'!E30+'EGD Avoided UFG'!C23</f>
        <v>0.34003277039327306</v>
      </c>
      <c r="D26" s="32">
        <f>NPV($D$5,C$11:C26)+D$10</f>
        <v>2.7197855698675739</v>
      </c>
      <c r="E26" s="47">
        <f>'EGD SENDOUT Report'!J20+'EGD Avoided DS Infrastructure'!D30+'EGD Avoided DS Infrastructure'!F30+'EGD Avoided UFG'!D23</f>
        <v>0.35782635530955598</v>
      </c>
      <c r="F26" s="103">
        <f>NPV($D$5,E$11:E26)+F$10</f>
        <v>2.8928054430163481</v>
      </c>
      <c r="G26" s="45"/>
      <c r="H26" s="97">
        <f t="shared" si="0"/>
        <v>2041</v>
      </c>
      <c r="I26" s="47">
        <f>'EGD Avoided Water'!C24</f>
        <v>1.5065218442672694</v>
      </c>
      <c r="J26" s="79">
        <f>NPV($D$5,I$11:I26)+J$10</f>
        <v>13.884876308571908</v>
      </c>
      <c r="K26" s="45"/>
    </row>
    <row r="27" spans="1:11" x14ac:dyDescent="0.2">
      <c r="A27" s="44"/>
      <c r="B27" s="97">
        <v>2042</v>
      </c>
      <c r="C27" s="47">
        <f>'EGD SENDOUT Report'!I21+'EGD Avoided DS Infrastructure'!C31+'EGD Avoided DS Infrastructure'!E31+'EGD Avoided UFG'!C24</f>
        <v>0.35097547495919962</v>
      </c>
      <c r="D27" s="32">
        <f>NPV($D$5,C$11:C27)+D$10</f>
        <v>2.8484643936221872</v>
      </c>
      <c r="E27" s="47">
        <f>'EGD SENDOUT Report'!J21+'EGD Avoided DS Infrastructure'!D31+'EGD Avoided DS Infrastructure'!F31+'EGD Avoided UFG'!D24</f>
        <v>0.36912493157380816</v>
      </c>
      <c r="F27" s="103">
        <f>NPV($D$5,E$11:E27)+F$10</f>
        <v>3.0281384374910796</v>
      </c>
      <c r="G27" s="45"/>
      <c r="H27" s="97">
        <f t="shared" si="0"/>
        <v>2042</v>
      </c>
      <c r="I27" s="47">
        <f>'EGD Avoided Water'!C25</f>
        <v>1.5366522811526149</v>
      </c>
      <c r="J27" s="79">
        <f>NPV($D$5,I$11:I27)+J$10</f>
        <v>14.448262135121604</v>
      </c>
      <c r="K27" s="45"/>
    </row>
    <row r="28" spans="1:11" x14ac:dyDescent="0.2">
      <c r="A28" s="44"/>
      <c r="B28" s="97">
        <v>2043</v>
      </c>
      <c r="C28" s="47">
        <f>'EGD SENDOUT Report'!I22+'EGD Avoided DS Infrastructure'!C32+'EGD Avoided DS Infrastructure'!E32+'EGD Avoided UFG'!C25</f>
        <v>0.36819043071986035</v>
      </c>
      <c r="D28" s="32">
        <f>NPV($D$5,C$11:C28)+D$10</f>
        <v>2.9757177652302138</v>
      </c>
      <c r="E28" s="47">
        <f>'EGD SENDOUT Report'!J22+'EGD Avoided DS Infrastructure'!D32+'EGD Avoided DS Infrastructure'!F32+'EGD Avoided UFG'!D25</f>
        <v>0.3867028764667611</v>
      </c>
      <c r="F28" s="103">
        <f>NPV($D$5,E$11:E28)+F$10</f>
        <v>3.1617900501761431</v>
      </c>
      <c r="G28" s="45"/>
      <c r="H28" s="97">
        <f t="shared" si="0"/>
        <v>2043</v>
      </c>
      <c r="I28" s="47">
        <f>'EGD Avoided Water'!C26</f>
        <v>1.5673853267756672</v>
      </c>
      <c r="J28" s="79">
        <f>NPV($D$5,I$11:I28)+J$10</f>
        <v>14.989979276034775</v>
      </c>
      <c r="K28" s="45"/>
    </row>
    <row r="29" spans="1:11" x14ac:dyDescent="0.2">
      <c r="A29" s="44"/>
      <c r="B29" s="97">
        <v>2044</v>
      </c>
      <c r="C29" s="47">
        <f>'EGD SENDOUT Report'!I23+'EGD Avoided DS Infrastructure'!C33+'EGD Avoided DS Infrastructure'!E33+'EGD Avoided UFG'!C26</f>
        <v>0.38829475762841131</v>
      </c>
      <c r="D29" s="32">
        <f>NPV($D$5,C$11:C29)+D$10</f>
        <v>3.1022277539520946</v>
      </c>
      <c r="E29" s="47">
        <f>'EGD SENDOUT Report'!J23+'EGD Avoided DS Infrastructure'!D33+'EGD Avoided DS Infrastructure'!F33+'EGD Avoided UFG'!D26</f>
        <v>0.40717745229025004</v>
      </c>
      <c r="F29" s="103">
        <f>NPV($D$5,E$11:E29)+F$10</f>
        <v>3.2944521937797902</v>
      </c>
      <c r="G29" s="45"/>
      <c r="H29" s="97">
        <f t="shared" si="0"/>
        <v>2044</v>
      </c>
      <c r="I29" s="47">
        <f>'EGD Avoided Water'!C27</f>
        <v>1.5987330333111807</v>
      </c>
      <c r="J29" s="79">
        <f>NPV($D$5,I$11:I29)+J$10</f>
        <v>15.51086114229744</v>
      </c>
      <c r="K29" s="45"/>
    </row>
    <row r="30" spans="1:11" x14ac:dyDescent="0.2">
      <c r="A30" s="44"/>
      <c r="B30" s="97">
        <v>2045</v>
      </c>
      <c r="C30" s="47">
        <f>'EGD SENDOUT Report'!I24+'EGD Avoided DS Infrastructure'!C34+'EGD Avoided DS Infrastructure'!E34+'EGD Avoided UFG'!C27</f>
        <v>0.4049713319489669</v>
      </c>
      <c r="D30" s="32">
        <f>NPV($D$5,C$11:C30)+D$10</f>
        <v>3.226608758278005</v>
      </c>
      <c r="E30" s="47">
        <f>'EGD SENDOUT Report'!J24+'EGD Avoided DS Infrastructure'!D34+'EGD Avoided DS Infrastructure'!F34+'EGD Avoided UFG'!D27</f>
        <v>0.42423168050404242</v>
      </c>
      <c r="F30" s="103">
        <f>NPV($D$5,E$11:E30)+F$10</f>
        <v>3.4247487316458609</v>
      </c>
      <c r="G30" s="45"/>
      <c r="H30" s="97">
        <f t="shared" si="0"/>
        <v>2045</v>
      </c>
      <c r="I30" s="47">
        <f>'EGD Avoided Water'!C28</f>
        <v>1.6307076939774043</v>
      </c>
      <c r="J30" s="79">
        <f>NPV($D$5,I$11:I30)+J$10</f>
        <v>16.011709090626926</v>
      </c>
      <c r="K30" s="45"/>
    </row>
    <row r="31" spans="1:11" x14ac:dyDescent="0.2">
      <c r="A31" s="44"/>
      <c r="B31" s="97">
        <v>2046</v>
      </c>
      <c r="C31" s="47">
        <f>'EGD SENDOUT Report'!I25+'EGD Avoided DS Infrastructure'!C35+'EGD Avoided DS Infrastructure'!E35+'EGD Avoided UFG'!C28</f>
        <v>0.41289201787759672</v>
      </c>
      <c r="D31" s="32">
        <f>NPV($D$5,C$11:C31)+D$10</f>
        <v>3.3461541267028592</v>
      </c>
      <c r="E31" s="47">
        <f>'EGD SENDOUT Report'!J25+'EGD Avoided DS Infrastructure'!D35+'EGD Avoided DS Infrastructure'!F35+'EGD Avoided UFG'!D28</f>
        <v>0.4325375734037738</v>
      </c>
      <c r="F31" s="103">
        <f>NPV($D$5,E$11:E31)+F$10</f>
        <v>3.5499821130900999</v>
      </c>
      <c r="G31" s="45"/>
      <c r="H31" s="97">
        <f t="shared" si="0"/>
        <v>2046</v>
      </c>
      <c r="I31" s="47">
        <f>'EGD Avoided Water'!C29</f>
        <v>1.6633218478569525</v>
      </c>
      <c r="J31" s="79">
        <f>NPV($D$5,I$11:I31)+J$10</f>
        <v>16.493293656328351</v>
      </c>
      <c r="K31" s="45"/>
    </row>
    <row r="32" spans="1:11" x14ac:dyDescent="0.2">
      <c r="A32" s="44"/>
      <c r="B32" s="97">
        <v>2047</v>
      </c>
      <c r="C32" s="47">
        <f>'EGD SENDOUT Report'!I26+'EGD Avoided DS Infrastructure'!C36+'EGD Avoided DS Infrastructure'!E36+'EGD Avoided UFG'!C29</f>
        <v>0.42715615049645322</v>
      </c>
      <c r="D32" s="32">
        <f>NPV($D$5,C$11:C32)+D$10</f>
        <v>3.4627409370277689</v>
      </c>
      <c r="E32" s="47">
        <f>'EGD SENDOUT Report'!J26+'EGD Avoided DS Infrastructure'!D36+'EGD Avoided DS Infrastructure'!F36+'EGD Avoided UFG'!D29</f>
        <v>0.44719461713315389</v>
      </c>
      <c r="F32" s="103">
        <f>NPV($D$5,E$11:E32)+F$10</f>
        <v>3.6720381667028796</v>
      </c>
      <c r="G32" s="45"/>
      <c r="H32" s="97">
        <f t="shared" si="0"/>
        <v>2047</v>
      </c>
      <c r="I32" s="47">
        <f>'EGD Avoided Water'!C30</f>
        <v>1.6965882848140916</v>
      </c>
      <c r="J32" s="79">
        <f>NPV($D$5,I$11:I32)+J$10</f>
        <v>16.956355738733571</v>
      </c>
      <c r="K32" s="45"/>
    </row>
    <row r="33" spans="1:11" x14ac:dyDescent="0.2">
      <c r="A33" s="44"/>
      <c r="B33" s="97">
        <v>2048</v>
      </c>
      <c r="C33" s="47">
        <f>'EGD SENDOUT Report'!I27+'EGD Avoided DS Infrastructure'!C37+'EGD Avoided DS Infrastructure'!E37+'EGD Avoided UFG'!C30</f>
        <v>0.4418256916129108</v>
      </c>
      <c r="D33" s="32">
        <f>NPV($D$5,C$11:C33)+D$10</f>
        <v>3.5764199283840541</v>
      </c>
      <c r="E33" s="47">
        <f>'EGD SENDOUT Report'!J27+'EGD Avoided DS Infrastructure'!D37+'EGD Avoided DS Infrastructure'!F37+'EGD Avoided UFG'!D30</f>
        <v>0.46226492758234539</v>
      </c>
      <c r="F33" s="103">
        <f>NPV($D$5,E$11:E33)+F$10</f>
        <v>3.7909760458359627</v>
      </c>
      <c r="G33" s="45"/>
      <c r="H33" s="97">
        <f t="shared" si="0"/>
        <v>2048</v>
      </c>
      <c r="I33" s="47">
        <f>'EGD Avoided Water'!C31</f>
        <v>1.7305200505103735</v>
      </c>
      <c r="J33" s="79">
        <f>NPV($D$5,I$11:I33)+J$10</f>
        <v>17.401607741046281</v>
      </c>
      <c r="K33" s="45"/>
    </row>
    <row r="34" spans="1:11" x14ac:dyDescent="0.2">
      <c r="A34" s="44"/>
      <c r="B34" s="97">
        <v>2049</v>
      </c>
      <c r="C34" s="47">
        <f>'EGD SENDOUT Report'!I28+'EGD Avoided DS Infrastructure'!C38+'EGD Avoided DS Infrastructure'!E38+'EGD Avoided UFG'!C31</f>
        <v>0.45691115191382797</v>
      </c>
      <c r="D34" s="32">
        <f>NPV($D$5,C$11:C34)+D$10</f>
        <v>3.6872423134581691</v>
      </c>
      <c r="E34" s="47">
        <f>'EGD SENDOUT Report'!J28+'EGD Avoided DS Infrastructure'!D38+'EGD Avoided DS Infrastructure'!F38+'EGD Avoided UFG'!D31</f>
        <v>0.47775917260265138</v>
      </c>
      <c r="F34" s="103">
        <f>NPV($D$5,E$11:E34)+F$10</f>
        <v>3.9068550537723836</v>
      </c>
      <c r="G34" s="45"/>
      <c r="H34" s="97">
        <f t="shared" si="0"/>
        <v>2049</v>
      </c>
      <c r="I34" s="47">
        <f>'EGD Avoided Water'!C32</f>
        <v>1.765130451520581</v>
      </c>
      <c r="J34" s="79">
        <f>NPV($D$5,I$11:I34)+J$10</f>
        <v>17.829734666346965</v>
      </c>
      <c r="K34" s="45"/>
    </row>
    <row r="35" spans="1:11" x14ac:dyDescent="0.2">
      <c r="A35" s="44"/>
      <c r="B35" s="97">
        <v>2050</v>
      </c>
      <c r="C35" s="47">
        <f>'EGD SENDOUT Report'!I29+'EGD Avoided DS Infrastructure'!C39+'EGD Avoided DS Infrastructure'!E39+'EGD Avoided UFG'!C32</f>
        <v>0.47242330035013919</v>
      </c>
      <c r="D35" s="32">
        <f>NPV($D$5,C$11:C35)+D$10</f>
        <v>3.7952596670065004</v>
      </c>
      <c r="E35" s="47">
        <f>'EGD SENDOUT Report'!J29+'EGD Avoided DS Infrastructure'!D39+'EGD Avoided DS Infrastructure'!F39+'EGD Avoided UFG'!D32</f>
        <v>0.49368828145273896</v>
      </c>
      <c r="F35" s="103">
        <f>NPV($D$5,E$11:E35)+F$10</f>
        <v>4.0197345446883164</v>
      </c>
      <c r="G35" s="45"/>
      <c r="H35" s="97">
        <f t="shared" si="0"/>
        <v>2050</v>
      </c>
      <c r="I35" s="47">
        <f>'EGD Avoided Water'!C33</f>
        <v>1.8004330605509926</v>
      </c>
      <c r="J35" s="79">
        <f>NPV($D$5,I$11:I35)+J$10</f>
        <v>18.241395171443777</v>
      </c>
      <c r="K35" s="45"/>
    </row>
    <row r="36" spans="1:11" x14ac:dyDescent="0.2">
      <c r="A36" s="44"/>
      <c r="B36" s="97">
        <v>2051</v>
      </c>
      <c r="C36" s="47">
        <f>'EGD SENDOUT Report'!I30+'EGD Avoided DS Infrastructure'!C40+'EGD Avoided DS Infrastructure'!E40+'EGD Avoided UFG'!C33</f>
        <v>0.48837317026313487</v>
      </c>
      <c r="D36" s="32">
        <f>NPV($D$5,C$11:C36)+D$10</f>
        <v>3.9005238222454182</v>
      </c>
      <c r="E36" s="47">
        <f>'EGD SENDOUT Report'!J30+'EGD Avoided DS Infrastructure'!D40+'EGD Avoided DS Infrastructure'!F40+'EGD Avoided UFG'!D33</f>
        <v>0.51006345098778672</v>
      </c>
      <c r="F36" s="103">
        <f>NPV($D$5,E$11:E36)+F$10</f>
        <v>4.1296738320114663</v>
      </c>
      <c r="G36" s="45"/>
      <c r="H36" s="97">
        <f t="shared" si="0"/>
        <v>2051</v>
      </c>
      <c r="I36" s="47">
        <f>'EGD Avoided Water'!C34</f>
        <v>1.8364417217620126</v>
      </c>
      <c r="J36" s="79">
        <f>NPV($D$5,I$11:I36)+J$10</f>
        <v>18.637222580190709</v>
      </c>
      <c r="K36" s="45"/>
    </row>
    <row r="37" spans="1:11" x14ac:dyDescent="0.2">
      <c r="A37" s="44"/>
      <c r="B37" s="97">
        <v>2052</v>
      </c>
      <c r="C37" s="47">
        <f>'EGD SENDOUT Report'!I31+'EGD Avoided DS Infrastructure'!C41+'EGD Avoided DS Infrastructure'!E41+'EGD Avoided UFG'!C34</f>
        <v>0.50477206565251265</v>
      </c>
      <c r="D37" s="32">
        <f>NPV($D$5,C$11:C37)+D$10</f>
        <v>4.0030867746757233</v>
      </c>
      <c r="E37" s="47">
        <f>'EGD SENDOUT Report'!J31+'EGD Avoided DS Infrastructure'!D41+'EGD Avoided DS Infrastructure'!F41+'EGD Avoided UFG'!D34</f>
        <v>0.52689615199165751</v>
      </c>
      <c r="F37" s="103">
        <f>NPV($D$5,E$11:E37)+F$10</f>
        <v>4.2367321037535328</v>
      </c>
      <c r="G37" s="45"/>
      <c r="H37" s="97">
        <f t="shared" si="0"/>
        <v>2052</v>
      </c>
      <c r="I37" s="47">
        <f>'EGD Avoided Water'!C35</f>
        <v>1.8731705561972529</v>
      </c>
      <c r="J37" s="79">
        <f>NPV($D$5,I$11:I37)+J$10</f>
        <v>19.017825857831991</v>
      </c>
      <c r="K37" s="45"/>
    </row>
    <row r="38" spans="1:11" x14ac:dyDescent="0.2">
      <c r="A38" s="44"/>
      <c r="B38" s="97">
        <v>2053</v>
      </c>
      <c r="C38" s="47">
        <f>'EGD SENDOUT Report'!I32+'EGD Avoided DS Infrastructure'!C42+'EGD Avoided DS Infrastructure'!E42+'EGD Avoided UFG'!C35</f>
        <v>0.52163156758935803</v>
      </c>
      <c r="D38" s="32">
        <f>NPV($D$5,C$11:C38)+D$10</f>
        <v>4.1030005929228723</v>
      </c>
      <c r="E38" s="47">
        <f>'EGD SENDOUT Report'!J32+'EGD Avoided DS Infrastructure'!D42+'EGD Avoided DS Infrastructure'!F42+'EGD Avoided UFG'!D35</f>
        <v>0.54419813565528574</v>
      </c>
      <c r="F38" s="103">
        <f>NPV($D$5,E$11:E38)+F$10</f>
        <v>4.3409683444158373</v>
      </c>
      <c r="G38" s="45"/>
      <c r="H38" s="97">
        <f t="shared" si="0"/>
        <v>2053</v>
      </c>
      <c r="I38" s="47">
        <f>'EGD Avoided Water'!C36</f>
        <v>1.9106339673211981</v>
      </c>
      <c r="J38" s="79">
        <f>NPV($D$5,I$11:I38)+J$10</f>
        <v>19.383790547871687</v>
      </c>
      <c r="K38" s="45"/>
    </row>
    <row r="39" spans="1:11" x14ac:dyDescent="0.2">
      <c r="A39" s="44"/>
      <c r="B39" s="98">
        <v>2054</v>
      </c>
      <c r="C39" s="48">
        <f>'EGD SENDOUT Report'!I33+'EGD Avoided DS Infrastructure'!C43+'EGD Avoided DS Infrastructure'!E43+'EGD Avoided UFG'!C36</f>
        <v>0.53896354077741848</v>
      </c>
      <c r="D39" s="35">
        <f>NPV($D$5,C$11:C39)+D$10</f>
        <v>4.2003173361955852</v>
      </c>
      <c r="E39" s="48">
        <f>'EGD SENDOUT Report'!J33+'EGD Avoided DS Infrastructure'!D43+'EGD Avoided DS Infrastructure'!F43+'EGD Avoided UFG'!D36</f>
        <v>0.56198144020466478</v>
      </c>
      <c r="F39" s="104">
        <f>NPV($D$5,E$11:E39)+F$10</f>
        <v>4.4424412630877379</v>
      </c>
      <c r="G39" s="45"/>
      <c r="H39" s="43">
        <f t="shared" si="0"/>
        <v>2054</v>
      </c>
      <c r="I39" s="48">
        <f>'EGD Avoided Water'!C37</f>
        <v>1.948846646667622</v>
      </c>
      <c r="J39" s="205">
        <f>NPV($D$5,I$11:I39)+J$10</f>
        <v>19.735679672909853</v>
      </c>
      <c r="K39" s="45"/>
    </row>
    <row r="40" spans="1:11" x14ac:dyDescent="0.2">
      <c r="A40" s="49"/>
      <c r="C40" s="10"/>
      <c r="G40" s="45"/>
    </row>
    <row r="41" spans="1:11" x14ac:dyDescent="0.2">
      <c r="A41" s="49"/>
      <c r="B41" s="1" t="s">
        <v>23</v>
      </c>
      <c r="G41" s="45"/>
    </row>
    <row r="42" spans="1:11" x14ac:dyDescent="0.2">
      <c r="A42" s="49"/>
      <c r="B42" s="1" t="s">
        <v>24</v>
      </c>
      <c r="G42" s="45"/>
    </row>
  </sheetData>
  <mergeCells count="6">
    <mergeCell ref="H7:J7"/>
    <mergeCell ref="B4:C4"/>
    <mergeCell ref="B5:C5"/>
    <mergeCell ref="C8:D8"/>
    <mergeCell ref="E8:F8"/>
    <mergeCell ref="B7:F7"/>
  </mergeCells>
  <pageMargins left="0.7" right="0.7" top="0.75" bottom="0.75" header="0.3" footer="0.3"/>
  <pageSetup scale="76" orientation="landscape" r:id="rId1"/>
  <ignoredErrors>
    <ignoredError sqref="E10:E39"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6E29E-FBBF-415C-8021-216AF1023D9F}">
  <sheetPr>
    <pageSetUpPr fitToPage="1"/>
  </sheetPr>
  <dimension ref="A1:L42"/>
  <sheetViews>
    <sheetView workbookViewId="0"/>
  </sheetViews>
  <sheetFormatPr defaultColWidth="8.85546875" defaultRowHeight="12.75" x14ac:dyDescent="0.2"/>
  <cols>
    <col min="1" max="1" width="7.140625" style="7" customWidth="1"/>
    <col min="2" max="7" width="10.85546875" style="7" customWidth="1"/>
    <col min="8" max="16384" width="8.85546875" style="7"/>
  </cols>
  <sheetData>
    <row r="1" spans="1:12" x14ac:dyDescent="0.2">
      <c r="B1" s="70" t="s">
        <v>0</v>
      </c>
    </row>
    <row r="2" spans="1:12" x14ac:dyDescent="0.2">
      <c r="A2" s="167"/>
      <c r="B2" s="169" t="s">
        <v>41</v>
      </c>
      <c r="C2" s="169"/>
      <c r="D2" s="45"/>
      <c r="E2" s="45"/>
      <c r="F2" s="45"/>
      <c r="G2" s="45"/>
    </row>
    <row r="3" spans="1:12" x14ac:dyDescent="0.2">
      <c r="A3" s="44"/>
      <c r="B3" s="45"/>
      <c r="C3" s="45"/>
      <c r="D3" s="45"/>
      <c r="E3" s="45"/>
      <c r="F3" s="45"/>
      <c r="G3" s="45"/>
    </row>
    <row r="4" spans="1:12" ht="12.75" customHeight="1" x14ac:dyDescent="0.2">
      <c r="A4" s="44"/>
      <c r="B4" s="368" t="s">
        <v>5</v>
      </c>
      <c r="C4" s="369"/>
      <c r="D4" s="172">
        <f>'General Inputs'!C5</f>
        <v>0.02</v>
      </c>
      <c r="F4" s="45"/>
      <c r="G4" s="45"/>
    </row>
    <row r="5" spans="1:12" ht="12.75" customHeight="1" x14ac:dyDescent="0.2">
      <c r="A5" s="44"/>
      <c r="B5" s="368" t="s">
        <v>30</v>
      </c>
      <c r="C5" s="369"/>
      <c r="D5" s="172">
        <f>'General Inputs'!C7</f>
        <v>6.0799999999999965E-2</v>
      </c>
      <c r="F5" s="46"/>
      <c r="G5" s="45"/>
    </row>
    <row r="6" spans="1:12" x14ac:dyDescent="0.2">
      <c r="A6" s="44"/>
      <c r="B6" s="45"/>
      <c r="C6" s="45"/>
      <c r="D6" s="45"/>
      <c r="E6" s="45"/>
      <c r="F6" s="45"/>
      <c r="G6" s="45"/>
    </row>
    <row r="7" spans="1:12" ht="13.35" customHeight="1" x14ac:dyDescent="0.2">
      <c r="A7" s="44"/>
      <c r="B7" s="363" t="s">
        <v>38</v>
      </c>
      <c r="C7" s="364"/>
      <c r="D7" s="364"/>
      <c r="E7" s="364"/>
      <c r="F7" s="365"/>
      <c r="G7" s="45"/>
      <c r="H7" s="363" t="s">
        <v>39</v>
      </c>
      <c r="I7" s="364"/>
      <c r="J7" s="365"/>
      <c r="L7" s="1" t="s">
        <v>40</v>
      </c>
    </row>
    <row r="8" spans="1:12" ht="13.35" customHeight="1" x14ac:dyDescent="0.2">
      <c r="A8" s="44"/>
      <c r="B8" s="170"/>
      <c r="C8" s="366" t="s">
        <v>15</v>
      </c>
      <c r="D8" s="366"/>
      <c r="E8" s="366" t="s">
        <v>16</v>
      </c>
      <c r="F8" s="367"/>
      <c r="G8" s="45"/>
      <c r="H8" s="245"/>
      <c r="I8" s="246"/>
      <c r="J8" s="247"/>
    </row>
    <row r="9" spans="1:12" x14ac:dyDescent="0.2">
      <c r="A9" s="44"/>
      <c r="B9" s="50" t="s">
        <v>17</v>
      </c>
      <c r="C9" s="299" t="s">
        <v>18</v>
      </c>
      <c r="D9" s="299" t="s">
        <v>19</v>
      </c>
      <c r="E9" s="300" t="s">
        <v>18</v>
      </c>
      <c r="F9" s="301" t="s">
        <v>19</v>
      </c>
      <c r="G9" s="45"/>
      <c r="H9" s="170" t="s">
        <v>17</v>
      </c>
      <c r="I9" s="300" t="s">
        <v>18</v>
      </c>
      <c r="J9" s="301" t="s">
        <v>19</v>
      </c>
    </row>
    <row r="10" spans="1:12" x14ac:dyDescent="0.2">
      <c r="A10" s="44"/>
      <c r="B10" s="97">
        <v>2025</v>
      </c>
      <c r="C10" s="302">
        <f>'UG SENDOUT Report'!I4+'UG Avoided DS Infrastructure'!C14+'UG Avoided DS Infrastructure'!E14+'UG Avoided UFG'!C7</f>
        <v>0.15906942654855336</v>
      </c>
      <c r="D10" s="303">
        <f>C10</f>
        <v>0.15906942654855336</v>
      </c>
      <c r="E10" s="302">
        <f>'UG SENDOUT Report'!J4+'UG Avoided DS Infrastructure'!D14+'UG Avoided DS Infrastructure'!F14+'UG Avoided UFG'!D7</f>
        <v>0.20741213748765669</v>
      </c>
      <c r="F10" s="304">
        <f>E10</f>
        <v>0.20741213748765669</v>
      </c>
      <c r="G10" s="45"/>
      <c r="H10" s="305">
        <f>B10</f>
        <v>2025</v>
      </c>
      <c r="I10" s="306">
        <f>'UG Avoided Water'!C8</f>
        <v>0.98484220285714297</v>
      </c>
      <c r="J10" s="307">
        <f>I10</f>
        <v>0.98484220285714297</v>
      </c>
    </row>
    <row r="11" spans="1:12" x14ac:dyDescent="0.2">
      <c r="A11" s="44"/>
      <c r="B11" s="97">
        <v>2026</v>
      </c>
      <c r="C11" s="47">
        <f>'UG SENDOUT Report'!I5+'UG Avoided DS Infrastructure'!C15+'UG Avoided DS Infrastructure'!E15+'UG Avoided UFG'!C8</f>
        <v>0.20002069664204308</v>
      </c>
      <c r="D11" s="107">
        <f>NPV($D$5,C11:C$11)+D$10</f>
        <v>0.34762589020055479</v>
      </c>
      <c r="E11" s="47">
        <f>'UG SENDOUT Report'!J5+'UG Avoided DS Infrastructure'!D15+'UG Avoided DS Infrastructure'!F15+'UG Avoided UFG'!D8</f>
        <v>0.25649319776835516</v>
      </c>
      <c r="F11" s="103">
        <f>NPV($D$5,E11:E$11)+F$10</f>
        <v>0.4492043676614455</v>
      </c>
      <c r="G11" s="45"/>
      <c r="H11" s="97">
        <f t="shared" ref="H11:H38" si="0">B11</f>
        <v>2026</v>
      </c>
      <c r="I11" s="99">
        <f>'UG Avoided Water'!C9</f>
        <v>1.0045390469142859</v>
      </c>
      <c r="J11" s="79">
        <f>NPV($D$5,I$11:I11)+J$10</f>
        <v>1.9318058594505496</v>
      </c>
    </row>
    <row r="12" spans="1:12" x14ac:dyDescent="0.2">
      <c r="A12" s="44"/>
      <c r="B12" s="97">
        <v>2027</v>
      </c>
      <c r="C12" s="47">
        <f>'UG SENDOUT Report'!I6+'UG Avoided DS Infrastructure'!C16+'UG Avoided DS Infrastructure'!E16+'UG Avoided UFG'!C9</f>
        <v>0.21966676023978327</v>
      </c>
      <c r="D12" s="107">
        <f>NPV($D$5,C$11:C12)+D$10</f>
        <v>0.54283376022474972</v>
      </c>
      <c r="E12" s="47">
        <f>'UG SENDOUT Report'!J6+'UG Avoided DS Infrastructure'!D16+'UG Avoided DS Infrastructure'!F16+'UG Avoided UFG'!D9</f>
        <v>0.28633329312411832</v>
      </c>
      <c r="F12" s="103">
        <f>NPV($D$5,E$11:E12)+F$10</f>
        <v>0.70365575669617897</v>
      </c>
      <c r="G12" s="45"/>
      <c r="H12" s="97">
        <f t="shared" si="0"/>
        <v>2027</v>
      </c>
      <c r="I12" s="99">
        <f>'UG Avoided Water'!C10</f>
        <v>1.0246298278525716</v>
      </c>
      <c r="J12" s="79">
        <f>NPV($D$5,I$11:I12)+J$10</f>
        <v>2.8423478369442101</v>
      </c>
    </row>
    <row r="13" spans="1:12" x14ac:dyDescent="0.2">
      <c r="A13" s="44"/>
      <c r="B13" s="97">
        <v>2028</v>
      </c>
      <c r="C13" s="47">
        <f>'UG SENDOUT Report'!I7+'UG Avoided DS Infrastructure'!C17+'UG Avoided DS Infrastructure'!E17+'UG Avoided UFG'!C10</f>
        <v>0.25118733372839747</v>
      </c>
      <c r="D13" s="107">
        <f>NPV($D$5,C$11:C13)+D$10</f>
        <v>0.75325869579704208</v>
      </c>
      <c r="E13" s="47">
        <f>'UG SENDOUT Report'!J7+'UG Avoided DS Infrastructure'!D17+'UG Avoided DS Infrastructure'!F17+'UG Avoided UFG'!D10</f>
        <v>0.30122184889169656</v>
      </c>
      <c r="F13" s="103">
        <f>NPV($D$5,E$11:E13)+F$10</f>
        <v>0.95599566255519863</v>
      </c>
      <c r="G13" s="45"/>
      <c r="H13" s="97">
        <f t="shared" si="0"/>
        <v>2028</v>
      </c>
      <c r="I13" s="99">
        <f>'UG Avoided Water'!C11</f>
        <v>1.0451224244096231</v>
      </c>
      <c r="J13" s="79">
        <f>NPV($D$5,I$11:I13)+J$10</f>
        <v>3.7178689691496531</v>
      </c>
    </row>
    <row r="14" spans="1:12" x14ac:dyDescent="0.2">
      <c r="A14" s="44"/>
      <c r="B14" s="97">
        <v>2029</v>
      </c>
      <c r="C14" s="47">
        <f>'UG SENDOUT Report'!I8+'UG Avoided DS Infrastructure'!C18+'UG Avoided DS Infrastructure'!E18+'UG Avoided UFG'!C11</f>
        <v>0.29009615138804901</v>
      </c>
      <c r="D14" s="107">
        <f>NPV($D$5,C$11:C14)+D$10</f>
        <v>0.9823496404046913</v>
      </c>
      <c r="E14" s="47">
        <f>'UG SENDOUT Report'!J8+'UG Avoided DS Infrastructure'!D18+'UG Avoided DS Infrastructure'!F18+'UG Avoided UFG'!D11</f>
        <v>0.34113135685461399</v>
      </c>
      <c r="F14" s="103">
        <f>NPV($D$5,E$11:E14)+F$10</f>
        <v>1.2253894632077782</v>
      </c>
      <c r="G14" s="45"/>
      <c r="H14" s="97">
        <f t="shared" si="0"/>
        <v>2029</v>
      </c>
      <c r="I14" s="99">
        <f>'UG Avoided Water'!C12</f>
        <v>1.0660248728978157</v>
      </c>
      <c r="J14" s="79">
        <f>NPV($D$5,I$11:I14)+J$10</f>
        <v>4.5597162116548864</v>
      </c>
    </row>
    <row r="15" spans="1:12" x14ac:dyDescent="0.2">
      <c r="A15" s="44"/>
      <c r="B15" s="97">
        <v>2030</v>
      </c>
      <c r="C15" s="47">
        <f>'UG SENDOUT Report'!I9+'UG Avoided DS Infrastructure'!C19+'UG Avoided DS Infrastructure'!E19+'UG Avoided UFG'!C12</f>
        <v>0.3139523838607346</v>
      </c>
      <c r="D15" s="107">
        <f>NPV($D$5,C$11:C15)+D$10</f>
        <v>1.2160698298862496</v>
      </c>
      <c r="E15" s="47">
        <f>'UG SENDOUT Report'!J9+'UG Avoided DS Infrastructure'!D19+'UG Avoided DS Infrastructure'!F19+'UG Avoided UFG'!D12</f>
        <v>0.36600829343663088</v>
      </c>
      <c r="F15" s="103">
        <f>NPV($D$5,E$11:E15)+F$10</f>
        <v>1.4978623988863851</v>
      </c>
      <c r="G15" s="45"/>
      <c r="H15" s="97">
        <f t="shared" si="0"/>
        <v>2030</v>
      </c>
      <c r="I15" s="99">
        <f>'UG Avoided Water'!C13</f>
        <v>1.0873453703557721</v>
      </c>
      <c r="J15" s="79">
        <f>NPV($D$5,I$11:I15)+J$10</f>
        <v>5.3691847140637652</v>
      </c>
    </row>
    <row r="16" spans="1:12" x14ac:dyDescent="0.2">
      <c r="A16" s="44"/>
      <c r="B16" s="97">
        <v>2031</v>
      </c>
      <c r="C16" s="47">
        <f>'UG SENDOUT Report'!I10+'UG Avoided DS Infrastructure'!C20+'UG Avoided DS Infrastructure'!E20+'UG Avoided UFG'!C13</f>
        <v>0.33092061306204212</v>
      </c>
      <c r="D16" s="107">
        <f>NPV($D$5,C$11:C16)+D$10</f>
        <v>1.4483021996516872</v>
      </c>
      <c r="E16" s="47">
        <f>'UG SENDOUT Report'!J10+'UG Avoided DS Infrastructure'!D20+'UG Avoided DS Infrastructure'!F20+'UG Avoided UFG'!D13</f>
        <v>0.38401764082945639</v>
      </c>
      <c r="F16" s="103">
        <f>NPV($D$5,E$11:E16)+F$10</f>
        <v>1.7673570246105228</v>
      </c>
      <c r="G16" s="45"/>
      <c r="H16" s="97">
        <f t="shared" si="0"/>
        <v>2031</v>
      </c>
      <c r="I16" s="99">
        <f>'UG Avoided Water'!C14</f>
        <v>1.1090922777628875</v>
      </c>
      <c r="J16" s="79">
        <f>NPV($D$5,I$11:I16)+J$10</f>
        <v>6.1475198125338402</v>
      </c>
    </row>
    <row r="17" spans="1:10" x14ac:dyDescent="0.2">
      <c r="A17" s="44"/>
      <c r="B17" s="97">
        <v>2032</v>
      </c>
      <c r="C17" s="47">
        <f>'UG SENDOUT Report'!I11+'UG Avoided DS Infrastructure'!C21+'UG Avoided DS Infrastructure'!E21+'UG Avoided UFG'!C14</f>
        <v>0.33450209352263149</v>
      </c>
      <c r="D17" s="107">
        <f>NPV($D$5,C$11:C17)+D$10</f>
        <v>1.6695934602464364</v>
      </c>
      <c r="E17" s="47">
        <f>'UG SENDOUT Report'!J11+'UG Avoided DS Infrastructure'!D21+'UG Avoided DS Infrastructure'!F21+'UG Avoided UFG'!D14</f>
        <v>0.38866106184539406</v>
      </c>
      <c r="F17" s="103">
        <f>NPV($D$5,E$11:E17)+F$10</f>
        <v>2.0244773774732532</v>
      </c>
      <c r="G17" s="45"/>
      <c r="H17" s="97">
        <f t="shared" si="0"/>
        <v>2032</v>
      </c>
      <c r="I17" s="99">
        <f>'UG Avoided Water'!C15</f>
        <v>1.1312741233181454</v>
      </c>
      <c r="J17" s="79">
        <f>NPV($D$5,I$11:I17)+J$10</f>
        <v>6.8959189456781438</v>
      </c>
    </row>
    <row r="18" spans="1:10" x14ac:dyDescent="0.2">
      <c r="A18" s="44"/>
      <c r="B18" s="97">
        <v>2033</v>
      </c>
      <c r="C18" s="47">
        <f>'UG SENDOUT Report'!I12+'UG Avoided DS Infrastructure'!C22+'UG Avoided DS Infrastructure'!E22+'UG Avoided UFG'!C15</f>
        <v>0.34518114907053193</v>
      </c>
      <c r="D18" s="107">
        <f>NPV($D$5,C$11:C18)+D$10</f>
        <v>1.8848612152499526</v>
      </c>
      <c r="E18" s="47">
        <f>'UG SENDOUT Report'!J12+'UG Avoided DS Infrastructure'!D22+'UG Avoided DS Infrastructure'!F22+'UG Avoided UFG'!D15</f>
        <v>0.4004232967597498</v>
      </c>
      <c r="F18" s="103">
        <f>NPV($D$5,E$11:E18)+F$10</f>
        <v>2.2741961827344435</v>
      </c>
      <c r="G18" s="45"/>
      <c r="H18" s="97">
        <f t="shared" si="0"/>
        <v>2033</v>
      </c>
      <c r="I18" s="99">
        <f>'UG Avoided Water'!C16</f>
        <v>1.1538996057845083</v>
      </c>
      <c r="J18" s="79">
        <f>NPV($D$5,I$11:I18)+J$10</f>
        <v>7.6155334967784354</v>
      </c>
    </row>
    <row r="19" spans="1:10" x14ac:dyDescent="0.2">
      <c r="A19" s="44"/>
      <c r="B19" s="97">
        <v>2034</v>
      </c>
      <c r="C19" s="47">
        <f>'UG SENDOUT Report'!I13+'UG Avoided DS Infrastructure'!C23+'UG Avoided DS Infrastructure'!E23+'UG Avoided UFG'!C16</f>
        <v>0.34135185865308032</v>
      </c>
      <c r="D19" s="107">
        <f>NPV($D$5,C$11:C19)+D$10</f>
        <v>2.0855396349403259</v>
      </c>
      <c r="E19" s="47">
        <f>'UG SENDOUT Report'!J13+'UG Avoided DS Infrastructure'!D23+'UG Avoided DS Infrastructure'!F23+'UG Avoided UFG'!D16</f>
        <v>0.39769884929608251</v>
      </c>
      <c r="F19" s="103">
        <f>NPV($D$5,E$11:E19)+F$10</f>
        <v>2.5080006122879648</v>
      </c>
      <c r="G19" s="45"/>
      <c r="H19" s="97">
        <f t="shared" si="0"/>
        <v>2034</v>
      </c>
      <c r="I19" s="99">
        <f>'UG Avoided Water'!C17</f>
        <v>1.1769775979001986</v>
      </c>
      <c r="J19" s="79">
        <f>NPV($D$5,I$11:I19)+J$10</f>
        <v>8.3074705651441008</v>
      </c>
    </row>
    <row r="20" spans="1:10" x14ac:dyDescent="0.2">
      <c r="A20" s="44"/>
      <c r="B20" s="97">
        <v>2035</v>
      </c>
      <c r="C20" s="47">
        <f>'UG SENDOUT Report'!I14+'UG Avoided DS Infrastructure'!C24+'UG Avoided DS Infrastructure'!E24+'UG Avoided UFG'!C17</f>
        <v>0.3402135236842404</v>
      </c>
      <c r="D20" s="107">
        <f>NPV($D$5,C$11:C20)+D$10</f>
        <v>2.2740852612213951</v>
      </c>
      <c r="E20" s="47">
        <f>'UG SENDOUT Report'!J14+'UG Avoided DS Infrastructure'!D24+'UG Avoided DS Infrastructure'!F24+'UG Avoided UFG'!D17</f>
        <v>0.39768745414010265</v>
      </c>
      <c r="F20" s="103">
        <f>NPV($D$5,E$11:E20)+F$10</f>
        <v>2.7283981711297534</v>
      </c>
      <c r="G20" s="45"/>
      <c r="H20" s="97">
        <f t="shared" si="0"/>
        <v>2035</v>
      </c>
      <c r="I20" s="99">
        <f>'UG Avoided Water'!C18</f>
        <v>1.2005171498582026</v>
      </c>
      <c r="J20" s="79">
        <f>NPV($D$5,I$11:I20)+J$10</f>
        <v>8.9727946693418552</v>
      </c>
    </row>
    <row r="21" spans="1:10" x14ac:dyDescent="0.2">
      <c r="A21" s="44"/>
      <c r="B21" s="97">
        <v>2036</v>
      </c>
      <c r="C21" s="47">
        <f>'UG SENDOUT Report'!I15+'UG Avoided DS Infrastructure'!C25+'UG Avoided DS Infrastructure'!E25+'UG Avoided UFG'!C18</f>
        <v>0.34459211130921519</v>
      </c>
      <c r="D21" s="107">
        <f>NPV($D$5,C$11:C21)+D$10</f>
        <v>2.4541118736118332</v>
      </c>
      <c r="E21" s="47">
        <f>'UG SENDOUT Report'!J15+'UG Avoided DS Infrastructure'!D25+'UG Avoided DS Infrastructure'!F25+'UG Avoided UFG'!D18</f>
        <v>0.40321552037419467</v>
      </c>
      <c r="F21" s="103">
        <f>NPV($D$5,E$11:E21)+F$10</f>
        <v>2.9390516417516528</v>
      </c>
      <c r="G21" s="45"/>
      <c r="H21" s="97">
        <f t="shared" si="0"/>
        <v>2036</v>
      </c>
      <c r="I21" s="99">
        <f>'UG Avoided Water'!C19</f>
        <v>1.2245274928553667</v>
      </c>
      <c r="J21" s="79">
        <f>NPV($D$5,I$11:I21)+J$10</f>
        <v>9.6125293849166198</v>
      </c>
    </row>
    <row r="22" spans="1:10" x14ac:dyDescent="0.2">
      <c r="A22" s="44"/>
      <c r="B22" s="97">
        <v>2037</v>
      </c>
      <c r="C22" s="47">
        <f>'UG SENDOUT Report'!I16+'UG Avoided DS Infrastructure'!C26+'UG Avoided DS Infrastructure'!E26+'UG Avoided UFG'!C19</f>
        <v>0.35821515984529362</v>
      </c>
      <c r="D22" s="107">
        <f>NPV($D$5,C$11:C22)+D$10</f>
        <v>2.6305294407614768</v>
      </c>
      <c r="E22" s="47">
        <f>'UG SENDOUT Report'!J16+'UG Avoided DS Infrastructure'!D26+'UG Avoided DS Infrastructure'!F26+'UG Avoided UFG'!D19</f>
        <v>0.41801103709157261</v>
      </c>
      <c r="F22" s="103">
        <f>NPV($D$5,E$11:E22)+F$10</f>
        <v>3.1449181110469313</v>
      </c>
      <c r="G22" s="45"/>
      <c r="H22" s="97">
        <f t="shared" si="0"/>
        <v>2037</v>
      </c>
      <c r="I22" s="99">
        <f>'UG Avoided Water'!C20</f>
        <v>1.249018042712474</v>
      </c>
      <c r="J22" s="79">
        <f>NPV($D$5,I$11:I22)+J$10</f>
        <v>10.227658919123124</v>
      </c>
    </row>
    <row r="23" spans="1:10" x14ac:dyDescent="0.2">
      <c r="A23" s="44"/>
      <c r="B23" s="97">
        <v>2038</v>
      </c>
      <c r="C23" s="47">
        <f>'UG SENDOUT Report'!I17+'UG Avoided DS Infrastructure'!C27+'UG Avoided DS Infrastructure'!E27+'UG Avoided UFG'!C20</f>
        <v>0.37594091686731923</v>
      </c>
      <c r="D23" s="107">
        <f>NPV($D$5,C$11:C23)+D$10</f>
        <v>2.805065012296867</v>
      </c>
      <c r="E23" s="47">
        <f>'UG SENDOUT Report'!J17+'UG Avoided DS Infrastructure'!D27+'UG Avoided DS Infrastructure'!F27+'UG Avoided UFG'!D20</f>
        <v>0.43693271165852388</v>
      </c>
      <c r="F23" s="103">
        <f>NPV($D$5,E$11:E23)+F$10</f>
        <v>3.347769934645433</v>
      </c>
      <c r="G23" s="45"/>
      <c r="H23" s="97">
        <f t="shared" si="0"/>
        <v>2038</v>
      </c>
      <c r="I23" s="99">
        <f>'UG Avoided Water'!C21</f>
        <v>1.2739984035667236</v>
      </c>
      <c r="J23" s="79">
        <f>NPV($D$5,I$11:I23)+J$10</f>
        <v>10.819129625090916</v>
      </c>
    </row>
    <row r="24" spans="1:10" x14ac:dyDescent="0.2">
      <c r="A24" s="44"/>
      <c r="B24" s="97">
        <v>2039</v>
      </c>
      <c r="C24" s="47">
        <f>'UG SENDOUT Report'!I18+'UG Avoided DS Infrastructure'!C28+'UG Avoided DS Infrastructure'!E28+'UG Avoided UFG'!C21</f>
        <v>0.38888500719746144</v>
      </c>
      <c r="D24" s="107">
        <f>NPV($D$5,C$11:C24)+D$10</f>
        <v>2.9752620689120266</v>
      </c>
      <c r="E24" s="47">
        <f>'UG SENDOUT Report'!J18+'UG Avoided DS Infrastructure'!D28+'UG Avoided DS Infrastructure'!F28+'UG Avoided UFG'!D21</f>
        <v>0.45109663788449017</v>
      </c>
      <c r="F24" s="103">
        <f>NPV($D$5,E$11:E24)+F$10</f>
        <v>3.5451941567058922</v>
      </c>
      <c r="G24" s="45"/>
      <c r="H24" s="97">
        <f t="shared" si="0"/>
        <v>2039</v>
      </c>
      <c r="I24" s="99">
        <f>'UG Avoided Water'!C22</f>
        <v>1.299478371638058</v>
      </c>
      <c r="J24" s="79">
        <f>NPV($D$5,I$11:I24)+J$10</f>
        <v>11.387851457752255</v>
      </c>
    </row>
    <row r="25" spans="1:10" x14ac:dyDescent="0.2">
      <c r="A25" s="44"/>
      <c r="B25" s="97">
        <v>2040</v>
      </c>
      <c r="C25" s="47">
        <f>'UG SENDOUT Report'!I19+'UG Avoided DS Infrastructure'!C29+'UG Avoided DS Infrastructure'!E29+'UG Avoided UFG'!C22</f>
        <v>0.39779158167836093</v>
      </c>
      <c r="D25" s="107">
        <f>NPV($D$5,C$11:C25)+D$10</f>
        <v>3.1393788242398184</v>
      </c>
      <c r="E25" s="47">
        <f>'UG SENDOUT Report'!J19+'UG Avoided DS Infrastructure'!D29+'UG Avoided DS Infrastructure'!F29+'UG Avoided UFG'!D22</f>
        <v>0.46124744497913017</v>
      </c>
      <c r="F25" s="103">
        <f>NPV($D$5,E$11:E25)+F$10</f>
        <v>3.7354908788080095</v>
      </c>
      <c r="G25" s="45"/>
      <c r="H25" s="97">
        <f t="shared" si="0"/>
        <v>2040</v>
      </c>
      <c r="I25" s="99">
        <f>'UG Avoided Water'!C23</f>
        <v>1.3254679390708193</v>
      </c>
      <c r="J25" s="79">
        <f>NPV($D$5,I$11:I25)+J$10</f>
        <v>11.934699373772773</v>
      </c>
    </row>
    <row r="26" spans="1:10" x14ac:dyDescent="0.2">
      <c r="A26" s="44"/>
      <c r="B26" s="97">
        <v>2041</v>
      </c>
      <c r="C26" s="47">
        <f>'UG SENDOUT Report'!I20+'UG Avoided DS Infrastructure'!C30+'UG Avoided DS Infrastructure'!E30+'UG Avoided UFG'!C23</f>
        <v>0.41576174671775962</v>
      </c>
      <c r="D26" s="107">
        <f>NPV($D$5,C$11:C26)+D$10</f>
        <v>3.3010782030189598</v>
      </c>
      <c r="E26" s="47">
        <f>'UG SENDOUT Report'!J20+'UG Avoided DS Infrastructure'!D30+'UG Avoided DS Infrastructure'!F30+'UG Avoided UFG'!D23</f>
        <v>0.48048672728454422</v>
      </c>
      <c r="F26" s="103">
        <f>NPV($D$5,E$11:E26)+F$10</f>
        <v>3.9223633025624647</v>
      </c>
      <c r="G26" s="45"/>
      <c r="H26" s="97">
        <f t="shared" si="0"/>
        <v>2041</v>
      </c>
      <c r="I26" s="99">
        <f>'UG Avoided Water'!C24</f>
        <v>1.3519772978522357</v>
      </c>
      <c r="J26" s="79">
        <f>NPV($D$5,I$11:I26)+J$10</f>
        <v>12.460514677638656</v>
      </c>
    </row>
    <row r="27" spans="1:10" x14ac:dyDescent="0.2">
      <c r="A27" s="44"/>
      <c r="B27" s="97">
        <v>2042</v>
      </c>
      <c r="C27" s="47">
        <f>'UG SENDOUT Report'!I21+'UG Avoided DS Infrastructure'!C31+'UG Avoided DS Infrastructure'!E31+'UG Avoided UFG'!C24</f>
        <v>0.42291668689439232</v>
      </c>
      <c r="D27" s="107">
        <f>NPV($D$5,C$11:C27)+D$10</f>
        <v>3.4561329737891815</v>
      </c>
      <c r="E27" s="47">
        <f>'UG SENDOUT Report'!J21+'UG Avoided DS Infrastructure'!D31+'UG Avoided DS Infrastructure'!F31+'UG Avoided UFG'!D24</f>
        <v>0.48893616707251264</v>
      </c>
      <c r="F27" s="103">
        <f>NPV($D$5,E$11:E27)+F$10</f>
        <v>4.1016229242704885</v>
      </c>
      <c r="G27" s="45"/>
      <c r="H27" s="97">
        <f t="shared" si="0"/>
        <v>2042</v>
      </c>
      <c r="I27" s="99">
        <f>'UG Avoided Water'!C25</f>
        <v>1.3790168438092805</v>
      </c>
      <c r="J27" s="79">
        <f>NPV($D$5,I$11:I27)+J$10</f>
        <v>12.966106315971235</v>
      </c>
    </row>
    <row r="28" spans="1:10" x14ac:dyDescent="0.2">
      <c r="A28" s="44"/>
      <c r="B28" s="97">
        <v>2043</v>
      </c>
      <c r="C28" s="47">
        <f>'UG SENDOUT Report'!I22+'UG Avoided DS Infrastructure'!C32+'UG Avoided DS Infrastructure'!E32+'UG Avoided UFG'!C25</f>
        <v>0.44636400018407435</v>
      </c>
      <c r="D28" s="107">
        <f>NPV($D$5,C$11:C28)+D$10</f>
        <v>3.6104045660106721</v>
      </c>
      <c r="E28" s="47">
        <f>'UG SENDOUT Report'!J22+'UG Avoided DS Infrastructure'!D32+'UG Avoided DS Infrastructure'!F32+'UG Avoided UFG'!D25</f>
        <v>0.51370386996575712</v>
      </c>
      <c r="F28" s="103">
        <f>NPV($D$5,E$11:E28)+F$10</f>
        <v>4.2791684116244797</v>
      </c>
      <c r="G28" s="45"/>
      <c r="H28" s="97">
        <f t="shared" si="0"/>
        <v>2043</v>
      </c>
      <c r="I28" s="99">
        <f>'UG Avoided Water'!C26</f>
        <v>1.406597180685466</v>
      </c>
      <c r="J28" s="79">
        <f>NPV($D$5,I$11:I28)+J$10</f>
        <v>13.452252122060255</v>
      </c>
    </row>
    <row r="29" spans="1:10" x14ac:dyDescent="0.2">
      <c r="A29" s="44"/>
      <c r="B29" s="97">
        <v>2044</v>
      </c>
      <c r="C29" s="47">
        <f>'UG SENDOUT Report'!I23+'UG Avoided DS Infrastructure'!C33+'UG Avoided DS Infrastructure'!E33+'UG Avoided UFG'!C26</f>
        <v>0.45558545925468186</v>
      </c>
      <c r="D29" s="107">
        <f>NPV($D$5,C$11:C29)+D$10</f>
        <v>3.7588384816890263</v>
      </c>
      <c r="E29" s="47">
        <f>'UG SENDOUT Report'!J23+'UG Avoided DS Infrastructure'!D33+'UG Avoided DS Infrastructure'!F33+'UG Avoided UFG'!D26</f>
        <v>0.52427212643199839</v>
      </c>
      <c r="F29" s="103">
        <f>NPV($D$5,E$11:E29)+F$10</f>
        <v>4.4499810726225473</v>
      </c>
      <c r="G29" s="45"/>
      <c r="H29" s="97">
        <f t="shared" si="0"/>
        <v>2044</v>
      </c>
      <c r="I29" s="99">
        <f>'UG Avoided Water'!C27</f>
        <v>1.4347291242991753</v>
      </c>
      <c r="J29" s="79">
        <f>NPV($D$5,I$11:I29)+J$10</f>
        <v>13.919700012530464</v>
      </c>
    </row>
    <row r="30" spans="1:10" x14ac:dyDescent="0.2">
      <c r="A30" s="44"/>
      <c r="B30" s="97">
        <v>2045</v>
      </c>
      <c r="C30" s="47">
        <f>'UG SENDOUT Report'!I24+'UG Avoided DS Infrastructure'!C34+'UG Avoided DS Infrastructure'!E34+'UG Avoided UFG'!C27</f>
        <v>0.48774070282234966</v>
      </c>
      <c r="D30" s="107">
        <f>NPV($D$5,C$11:C30)+D$10</f>
        <v>3.9086408841843072</v>
      </c>
      <c r="E30" s="47">
        <f>'UG SENDOUT Report'!J24+'UG Avoided DS Infrastructure'!D34+'UG Avoided DS Infrastructure'!F34+'UG Avoided UFG'!D27</f>
        <v>0.55780110334321231</v>
      </c>
      <c r="F30" s="103">
        <f>NPV($D$5,E$11:E30)+F$10</f>
        <v>4.6213014994637058</v>
      </c>
      <c r="G30" s="45"/>
      <c r="H30" s="97">
        <f t="shared" si="0"/>
        <v>2045</v>
      </c>
      <c r="I30" s="99">
        <f>'UG Avoided Water'!C28</f>
        <v>1.4634237067851588</v>
      </c>
      <c r="J30" s="79">
        <f>NPV($D$5,I$11:I30)+J$10</f>
        <v>14.369169137982592</v>
      </c>
    </row>
    <row r="31" spans="1:10" x14ac:dyDescent="0.2">
      <c r="A31" s="44"/>
      <c r="B31" s="97">
        <v>2046</v>
      </c>
      <c r="C31" s="47">
        <f>'UG SENDOUT Report'!I25+'UG Avoided DS Infrastructure'!C35+'UG Avoided DS Infrastructure'!E35+'UG Avoided UFG'!C28</f>
        <v>0.50238889526090125</v>
      </c>
      <c r="D31" s="107">
        <f>NPV($D$5,C$11:C31)+D$10</f>
        <v>4.0540984444569412</v>
      </c>
      <c r="E31" s="47">
        <f>'UG SENDOUT Report'!J25+'UG Avoided DS Infrastructure'!D35+'UG Avoided DS Infrastructure'!F35+'UG Avoided UFG'!D28</f>
        <v>0.57385050379218128</v>
      </c>
      <c r="F31" s="103">
        <f>NPV($D$5,E$11:E31)+F$10</f>
        <v>4.7874494677612223</v>
      </c>
      <c r="G31" s="45"/>
      <c r="H31" s="97">
        <f t="shared" si="0"/>
        <v>2046</v>
      </c>
      <c r="I31" s="99">
        <f>'UG Avoided Water'!C29</f>
        <v>1.492692180920862</v>
      </c>
      <c r="J31" s="79">
        <f>NPV($D$5,I$11:I31)+J$10</f>
        <v>14.801350989378866</v>
      </c>
    </row>
    <row r="32" spans="1:10" x14ac:dyDescent="0.2">
      <c r="A32" s="44"/>
      <c r="B32" s="97">
        <v>2047</v>
      </c>
      <c r="C32" s="47">
        <f>'UG SENDOUT Report'!I26+'UG Avoided DS Infrastructure'!C36+'UG Avoided DS Infrastructure'!E36+'UG Avoided UFG'!C29</f>
        <v>0.5198204867455567</v>
      </c>
      <c r="D32" s="107">
        <f>NPV($D$5,C$11:C32)+D$10</f>
        <v>4.1959768006991975</v>
      </c>
      <c r="E32" s="47">
        <f>'UG SENDOUT Report'!J26+'UG Avoided DS Infrastructure'!D36+'UG Avoided DS Infrastructure'!F36+'UG Avoided UFG'!D29</f>
        <v>0.59271132744746235</v>
      </c>
      <c r="F32" s="103">
        <f>NPV($D$5,E$11:E32)+F$10</f>
        <v>4.9492224471043267</v>
      </c>
      <c r="G32" s="45"/>
      <c r="H32" s="97">
        <f t="shared" si="0"/>
        <v>2047</v>
      </c>
      <c r="I32" s="99">
        <f>'UG Avoided Water'!C30</f>
        <v>1.5225460245392792</v>
      </c>
      <c r="J32" s="79">
        <f>NPV($D$5,I$11:I32)+J$10</f>
        <v>15.216910461875285</v>
      </c>
    </row>
    <row r="33" spans="1:10" x14ac:dyDescent="0.2">
      <c r="A33" s="44"/>
      <c r="B33" s="97">
        <v>2048</v>
      </c>
      <c r="C33" s="47">
        <f>'UG SENDOUT Report'!I27+'UG Avoided DS Infrastructure'!C37+'UG Avoided DS Infrastructure'!E37+'UG Avoided UFG'!C30</f>
        <v>0.53774838633149169</v>
      </c>
      <c r="D33" s="107">
        <f>NPV($D$5,C$11:C33)+D$10</f>
        <v>4.3343361023922986</v>
      </c>
      <c r="E33" s="47">
        <f>'UG SENDOUT Report'!J27+'UG Avoided DS Infrastructure'!D37+'UG Avoided DS Infrastructure'!F37+'UG Avoided UFG'!D30</f>
        <v>0.61209704384743546</v>
      </c>
      <c r="F33" s="103">
        <f>NPV($D$5,E$11:E33)+F$10</f>
        <v>5.1067111940867056</v>
      </c>
      <c r="G33" s="45"/>
      <c r="H33" s="97">
        <f t="shared" si="0"/>
        <v>2048</v>
      </c>
      <c r="I33" s="99">
        <f>'UG Avoided Water'!C31</f>
        <v>1.5529969450300649</v>
      </c>
      <c r="J33" s="79">
        <f>NPV($D$5,I$11:I33)+J$10</f>
        <v>15.616486877737225</v>
      </c>
    </row>
    <row r="34" spans="1:10" x14ac:dyDescent="0.2">
      <c r="A34" s="44"/>
      <c r="B34" s="97">
        <v>2049</v>
      </c>
      <c r="C34" s="47">
        <f>'UG SENDOUT Report'!I28+'UG Avoided DS Infrastructure'!C38+'UG Avoided DS Infrastructure'!E38+'UG Avoided UFG'!C31</f>
        <v>0.556185473706166</v>
      </c>
      <c r="D34" s="107">
        <f>NPV($D$5,C$11:C34)+D$10</f>
        <v>4.4692371668148159</v>
      </c>
      <c r="E34" s="47">
        <f>'UG SENDOUT Report'!J28+'UG Avoided DS Infrastructure'!D38+'UG Avoided DS Infrastructure'!F38+'UG Avoided UFG'!D31</f>
        <v>0.63202110437242853</v>
      </c>
      <c r="F34" s="103">
        <f>NPV($D$5,E$11:E34)+F$10</f>
        <v>5.2600059559027592</v>
      </c>
      <c r="G34" s="45"/>
      <c r="H34" s="97">
        <f t="shared" si="0"/>
        <v>2049</v>
      </c>
      <c r="I34" s="99">
        <f>'UG Avoided Water'!C32</f>
        <v>1.5840568839306663</v>
      </c>
      <c r="J34" s="79">
        <f>NPV($D$5,I$11:I34)+J$10</f>
        <v>16.000694969912168</v>
      </c>
    </row>
    <row r="35" spans="1:10" x14ac:dyDescent="0.2">
      <c r="A35" s="44"/>
      <c r="B35" s="97">
        <v>2050</v>
      </c>
      <c r="C35" s="47">
        <f>'UG SENDOUT Report'!I29+'UG Avoided DS Infrastructure'!C39+'UG Avoided DS Infrastructure'!E39+'UG Avoided UFG'!C32</f>
        <v>0.57514494522129678</v>
      </c>
      <c r="D35" s="107">
        <f>NPV($D$5,C$11:C35)+D$10</f>
        <v>4.6007413386951175</v>
      </c>
      <c r="E35" s="47">
        <f>'UG SENDOUT Report'!J29+'UG Avoided DS Infrastructure'!D39+'UG Avoided DS Infrastructure'!F39+'UG Avoided UFG'!D32</f>
        <v>0.65249728850088473</v>
      </c>
      <c r="F35" s="103">
        <f>NPV($D$5,E$11:E35)+F$10</f>
        <v>5.4091963752768466</v>
      </c>
      <c r="G35" s="45"/>
      <c r="H35" s="97">
        <f t="shared" si="0"/>
        <v>2050</v>
      </c>
      <c r="I35" s="99">
        <f>'UG Avoided Water'!C33</f>
        <v>1.6157380216092796</v>
      </c>
      <c r="J35" s="79">
        <f>NPV($D$5,I$11:I35)+J$10</f>
        <v>16.370125827772689</v>
      </c>
    </row>
    <row r="36" spans="1:10" x14ac:dyDescent="0.2">
      <c r="A36" s="44"/>
      <c r="B36" s="97">
        <v>2051</v>
      </c>
      <c r="C36" s="47">
        <f>'UG SENDOUT Report'!I30+'UG Avoided DS Infrastructure'!C40+'UG Avoided DS Infrastructure'!E40+'UG Avoided UFG'!C33</f>
        <v>0.59464032140754808</v>
      </c>
      <c r="D36" s="107">
        <f>NPV($D$5,C$11:C36)+D$10</f>
        <v>4.7289103596719215</v>
      </c>
      <c r="E36" s="47">
        <f>'UG SENDOUT Report'!J30+'UG Avoided DS Infrastructure'!D40+'UG Avoided DS Infrastructure'!F40+'UG Avoided UFG'!D33</f>
        <v>0.67353971155272763</v>
      </c>
      <c r="F36" s="103">
        <f>NPV($D$5,E$11:E36)+F$10</f>
        <v>5.5543714034592124</v>
      </c>
      <c r="G36" s="45"/>
      <c r="H36" s="97">
        <f t="shared" si="0"/>
        <v>2051</v>
      </c>
      <c r="I36" s="99">
        <f>'UG Avoided Water'!C34</f>
        <v>1.6480527820414652</v>
      </c>
      <c r="J36" s="79">
        <f>NPV($D$5,I$11:I36)+J$10</f>
        <v>16.725347806484731</v>
      </c>
    </row>
    <row r="37" spans="1:10" x14ac:dyDescent="0.2">
      <c r="A37" s="44"/>
      <c r="B37" s="97">
        <v>2052</v>
      </c>
      <c r="C37" s="47">
        <f>'UG SENDOUT Report'!I31+'UG Avoided DS Infrastructure'!C41+'UG Avoided DS Infrastructure'!E41+'UG Avoided UFG'!C34</f>
        <v>0.61468545466316338</v>
      </c>
      <c r="D37" s="107">
        <f>NPV($D$5,C$11:C37)+D$10</f>
        <v>4.8538062470160881</v>
      </c>
      <c r="E37" s="47">
        <f>'UG SENDOUT Report'!J31+'UG Avoided DS Infrastructure'!D41+'UG Avoided DS Infrastructure'!F41+'UG Avoided UFG'!D34</f>
        <v>0.69516283261124645</v>
      </c>
      <c r="F37" s="103">
        <f>NPV($D$5,E$11:E37)+F$10</f>
        <v>5.6956192208087275</v>
      </c>
      <c r="G37" s="45"/>
      <c r="H37" s="97">
        <f t="shared" si="0"/>
        <v>2052</v>
      </c>
      <c r="I37" s="99">
        <f>'UG Avoided Water'!C35</f>
        <v>1.6810138376822945</v>
      </c>
      <c r="J37" s="79">
        <f>NPV($D$5,I$11:I37)+J$10</f>
        <v>17.066907401400151</v>
      </c>
    </row>
    <row r="38" spans="1:10" x14ac:dyDescent="0.2">
      <c r="A38" s="44"/>
      <c r="B38" s="97">
        <v>2053</v>
      </c>
      <c r="C38" s="47">
        <f>'UG SENDOUT Report'!I32+'UG Avoided DS Infrastructure'!C42+'UG Avoided DS Infrastructure'!E42+'UG Avoided UFG'!C35</f>
        <v>0.63529453712043782</v>
      </c>
      <c r="D38" s="107">
        <f>NPV($D$5,C$11:C38)+D$10</f>
        <v>4.9754911810943625</v>
      </c>
      <c r="E38" s="47">
        <f>'UG SENDOUT Report'!J32+'UG Avoided DS Infrastructure'!D42+'UG Avoided DS Infrastructure'!F42+'UG Avoided UFG'!D35</f>
        <v>0.71738146262748259</v>
      </c>
      <c r="F38" s="103">
        <f>NPV($D$5,E$11:E38)+F$10</f>
        <v>5.8330271645075289</v>
      </c>
      <c r="G38" s="45"/>
      <c r="H38" s="97">
        <f t="shared" si="0"/>
        <v>2053</v>
      </c>
      <c r="I38" s="99">
        <f>'UG Avoided Water'!C36</f>
        <v>1.7146341144359405</v>
      </c>
      <c r="J38" s="79">
        <f>NPV($D$5,I$11:I38)+J$10</f>
        <v>17.395330088818827</v>
      </c>
    </row>
    <row r="39" spans="1:10" x14ac:dyDescent="0.2">
      <c r="A39" s="44"/>
      <c r="B39" s="98">
        <v>2054</v>
      </c>
      <c r="C39" s="48">
        <f>'UG SENDOUT Report'!I33+'UG Avoided DS Infrastructure'!C43+'UG Avoided DS Infrastructure'!E43+'UG Avoided UFG'!C36</f>
        <v>0.65648210869414036</v>
      </c>
      <c r="D39" s="108">
        <f>NPV($D$5,C$11:C39)+D$10</f>
        <v>5.0940274010820152</v>
      </c>
      <c r="E39" s="48">
        <f>'UG SENDOUT Report'!J33+'UG Avoided DS Infrastructure'!D43+'UG Avoided DS Infrastructure'!F43+'UG Avoided UFG'!D36</f>
        <v>0.74021077271132618</v>
      </c>
      <c r="F39" s="104">
        <f>NPV($D$5,E$11:E39)+F$10</f>
        <v>5.9666816629764581</v>
      </c>
      <c r="G39" s="45"/>
      <c r="H39" s="98">
        <v>30</v>
      </c>
      <c r="I39" s="100">
        <f>'UG Avoided Water'!C37</f>
        <v>1.7489267967246593</v>
      </c>
      <c r="J39" s="205">
        <f>NPV($D$5,I$11:I39)+J$10</f>
        <v>17.711121134413705</v>
      </c>
    </row>
    <row r="40" spans="1:10" x14ac:dyDescent="0.2">
      <c r="A40" s="109"/>
      <c r="C40" s="125"/>
      <c r="G40" s="45"/>
    </row>
    <row r="41" spans="1:10" x14ac:dyDescent="0.2">
      <c r="A41" s="109"/>
      <c r="B41" s="7" t="s">
        <v>23</v>
      </c>
      <c r="G41" s="45"/>
    </row>
    <row r="42" spans="1:10" x14ac:dyDescent="0.2">
      <c r="A42" s="109"/>
      <c r="B42" s="7" t="s">
        <v>24</v>
      </c>
      <c r="G42" s="45"/>
    </row>
  </sheetData>
  <mergeCells count="6">
    <mergeCell ref="H7:J7"/>
    <mergeCell ref="C8:D8"/>
    <mergeCell ref="E8:F8"/>
    <mergeCell ref="B4:C4"/>
    <mergeCell ref="B5:C5"/>
    <mergeCell ref="B7:F7"/>
  </mergeCells>
  <pageMargins left="0.7" right="0.7" top="0.75" bottom="0.75" header="0.3" footer="0.3"/>
  <pageSetup scale="76" orientation="landscape" r:id="rId1"/>
  <ignoredErrors>
    <ignoredError sqref="E10:E39"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8F6EE-7A2B-472D-8F5E-42B569A7256B}">
  <sheetPr>
    <pageSetUpPr fitToPage="1"/>
  </sheetPr>
  <dimension ref="B1:D29"/>
  <sheetViews>
    <sheetView zoomScaleNormal="100" workbookViewId="0"/>
  </sheetViews>
  <sheetFormatPr defaultRowHeight="12.75" x14ac:dyDescent="0.2"/>
  <cols>
    <col min="1" max="1" width="7.140625" customWidth="1"/>
    <col min="2" max="2" width="35.85546875" bestFit="1" customWidth="1"/>
    <col min="3" max="3" width="27.42578125" customWidth="1"/>
  </cols>
  <sheetData>
    <row r="1" spans="2:4" x14ac:dyDescent="0.2">
      <c r="B1" s="70" t="s">
        <v>0</v>
      </c>
    </row>
    <row r="2" spans="2:4" x14ac:dyDescent="0.2">
      <c r="B2" s="70"/>
    </row>
    <row r="3" spans="2:4" x14ac:dyDescent="0.2">
      <c r="B3" s="70" t="s">
        <v>42</v>
      </c>
      <c r="C3" s="1" t="s">
        <v>43</v>
      </c>
    </row>
    <row r="4" spans="2:4" x14ac:dyDescent="0.2">
      <c r="B4" s="70"/>
    </row>
    <row r="5" spans="2:4" x14ac:dyDescent="0.2">
      <c r="B5" s="1" t="s">
        <v>44</v>
      </c>
    </row>
    <row r="6" spans="2:4" x14ac:dyDescent="0.2">
      <c r="B6" s="375" t="s">
        <v>45</v>
      </c>
      <c r="C6" s="376"/>
    </row>
    <row r="7" spans="2:4" x14ac:dyDescent="0.2">
      <c r="B7" s="310" t="s">
        <v>46</v>
      </c>
      <c r="C7" s="309" t="s">
        <v>47</v>
      </c>
    </row>
    <row r="8" spans="2:4" x14ac:dyDescent="0.2">
      <c r="B8" s="67" t="s">
        <v>48</v>
      </c>
      <c r="C8" s="69">
        <v>45778</v>
      </c>
    </row>
    <row r="9" spans="2:4" x14ac:dyDescent="0.2">
      <c r="B9" s="67" t="s">
        <v>49</v>
      </c>
      <c r="C9" s="69">
        <v>45778</v>
      </c>
    </row>
    <row r="11" spans="2:4" x14ac:dyDescent="0.2">
      <c r="B11" s="1" t="s">
        <v>50</v>
      </c>
      <c r="D11" s="70"/>
    </row>
    <row r="12" spans="2:4" x14ac:dyDescent="0.2">
      <c r="B12" s="375" t="s">
        <v>45</v>
      </c>
      <c r="C12" s="376"/>
    </row>
    <row r="13" spans="2:4" x14ac:dyDescent="0.2">
      <c r="B13" s="310" t="s">
        <v>46</v>
      </c>
      <c r="C13" s="309" t="s">
        <v>47</v>
      </c>
    </row>
    <row r="14" spans="2:4" x14ac:dyDescent="0.2">
      <c r="B14" s="66" t="s">
        <v>5</v>
      </c>
      <c r="C14" s="68">
        <v>45672</v>
      </c>
    </row>
    <row r="15" spans="2:4" x14ac:dyDescent="0.2">
      <c r="B15" s="66" t="s">
        <v>51</v>
      </c>
      <c r="C15" s="68">
        <v>45689</v>
      </c>
    </row>
    <row r="16" spans="2:4" ht="12.75" customHeight="1" x14ac:dyDescent="0.2">
      <c r="B16" s="66" t="s">
        <v>52</v>
      </c>
      <c r="C16" s="68">
        <v>45962</v>
      </c>
    </row>
    <row r="17" spans="2:3" x14ac:dyDescent="0.2">
      <c r="B17" s="66" t="s">
        <v>53</v>
      </c>
      <c r="C17" s="68">
        <v>45292</v>
      </c>
    </row>
    <row r="18" spans="2:3" x14ac:dyDescent="0.2">
      <c r="B18" s="66" t="s">
        <v>54</v>
      </c>
      <c r="C18" s="68">
        <v>45689</v>
      </c>
    </row>
    <row r="19" spans="2:3" x14ac:dyDescent="0.2">
      <c r="B19" s="22" t="s">
        <v>55</v>
      </c>
      <c r="C19" s="69">
        <v>45292</v>
      </c>
    </row>
    <row r="21" spans="2:3" x14ac:dyDescent="0.2">
      <c r="B21" s="1" t="s">
        <v>56</v>
      </c>
    </row>
    <row r="22" spans="2:3" x14ac:dyDescent="0.2">
      <c r="B22" s="375" t="s">
        <v>45</v>
      </c>
      <c r="C22" s="376"/>
    </row>
    <row r="23" spans="2:3" x14ac:dyDescent="0.2">
      <c r="B23" s="310" t="s">
        <v>46</v>
      </c>
      <c r="C23" s="309" t="s">
        <v>47</v>
      </c>
    </row>
    <row r="24" spans="2:3" x14ac:dyDescent="0.2">
      <c r="B24" s="66" t="s">
        <v>5</v>
      </c>
      <c r="C24" s="68">
        <v>45672</v>
      </c>
    </row>
    <row r="25" spans="2:3" x14ac:dyDescent="0.2">
      <c r="B25" s="66" t="s">
        <v>51</v>
      </c>
      <c r="C25" s="68">
        <v>45689</v>
      </c>
    </row>
    <row r="26" spans="2:3" x14ac:dyDescent="0.2">
      <c r="B26" s="66" t="s">
        <v>52</v>
      </c>
      <c r="C26" s="68">
        <v>45962</v>
      </c>
    </row>
    <row r="27" spans="2:3" x14ac:dyDescent="0.2">
      <c r="B27" s="66" t="s">
        <v>53</v>
      </c>
      <c r="C27" s="188" t="s">
        <v>57</v>
      </c>
    </row>
    <row r="28" spans="2:3" x14ac:dyDescent="0.2">
      <c r="B28" s="66" t="s">
        <v>54</v>
      </c>
      <c r="C28" s="68">
        <v>45689</v>
      </c>
    </row>
    <row r="29" spans="2:3" x14ac:dyDescent="0.2">
      <c r="B29" s="22" t="s">
        <v>55</v>
      </c>
      <c r="C29" s="69">
        <v>45292</v>
      </c>
    </row>
  </sheetData>
  <mergeCells count="3">
    <mergeCell ref="B12:C12"/>
    <mergeCell ref="B22:C22"/>
    <mergeCell ref="B6:C6"/>
  </mergeCells>
  <printOptions horizontalCentered="1"/>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J73"/>
  <sheetViews>
    <sheetView zoomScaleNormal="100" workbookViewId="0"/>
  </sheetViews>
  <sheetFormatPr defaultColWidth="9.140625" defaultRowHeight="12.75" x14ac:dyDescent="0.2"/>
  <cols>
    <col min="1" max="1" width="7.140625" style="1" customWidth="1"/>
    <col min="2" max="2" width="9.140625" style="1"/>
    <col min="3" max="3" width="40.85546875" style="1" customWidth="1"/>
    <col min="4" max="4" width="12.85546875" style="1" customWidth="1"/>
    <col min="5" max="5" width="11.85546875" style="1" customWidth="1"/>
    <col min="6" max="6" width="13.140625" style="1" customWidth="1"/>
    <col min="7" max="7" width="7.140625" style="1" customWidth="1"/>
    <col min="8" max="10" width="17.140625" style="1" customWidth="1"/>
    <col min="11" max="16384" width="9.140625" style="1"/>
  </cols>
  <sheetData>
    <row r="1" spans="2:10" x14ac:dyDescent="0.2">
      <c r="B1" s="71" t="s">
        <v>0</v>
      </c>
    </row>
    <row r="2" spans="2:10" ht="25.5" customHeight="1" x14ac:dyDescent="0.2">
      <c r="B2" s="311" t="s">
        <v>51</v>
      </c>
      <c r="C2" s="312"/>
      <c r="D2" s="312"/>
      <c r="E2" s="312"/>
      <c r="F2" s="313"/>
      <c r="H2" s="383" t="s">
        <v>58</v>
      </c>
      <c r="I2" s="384"/>
      <c r="J2" s="385"/>
    </row>
    <row r="3" spans="2:10" ht="25.5" x14ac:dyDescent="0.2">
      <c r="B3" s="4"/>
      <c r="D3" s="1" t="str">
        <f>"Volumes and Total Costs, "&amp;D7&amp;" - "&amp;F7</f>
        <v>Volumes and Total Costs, 2025 - 2027</v>
      </c>
      <c r="F3" s="16"/>
      <c r="H3" s="314" t="s">
        <v>17</v>
      </c>
      <c r="I3" s="315" t="s">
        <v>59</v>
      </c>
      <c r="J3" s="316" t="s">
        <v>60</v>
      </c>
    </row>
    <row r="4" spans="2:10" x14ac:dyDescent="0.2">
      <c r="B4" s="4"/>
      <c r="F4" s="16"/>
      <c r="H4" s="2">
        <v>2025</v>
      </c>
      <c r="I4" s="28">
        <f>D21/1000</f>
        <v>0.14638521652136416</v>
      </c>
      <c r="J4" s="32">
        <f>D28/1000</f>
        <v>0.15101455618980206</v>
      </c>
    </row>
    <row r="5" spans="2:10" x14ac:dyDescent="0.2">
      <c r="B5" s="4"/>
      <c r="D5" s="17" t="s">
        <v>61</v>
      </c>
      <c r="E5" s="17" t="s">
        <v>62</v>
      </c>
      <c r="F5" s="18" t="s">
        <v>63</v>
      </c>
      <c r="H5" s="2">
        <v>2026</v>
      </c>
      <c r="I5" s="28">
        <f>E21/1000</f>
        <v>0.17225740552274166</v>
      </c>
      <c r="J5" s="32">
        <f>E28/1000</f>
        <v>0.17694973786428439</v>
      </c>
    </row>
    <row r="6" spans="2:10" x14ac:dyDescent="0.2">
      <c r="B6" s="4"/>
      <c r="F6" s="16"/>
      <c r="H6" s="2">
        <v>2027</v>
      </c>
      <c r="I6" s="28">
        <f>F21/1000</f>
        <v>0.17852563737973237</v>
      </c>
      <c r="J6" s="32">
        <f>F28/1000</f>
        <v>0.18030139342928914</v>
      </c>
    </row>
    <row r="7" spans="2:10" x14ac:dyDescent="0.2">
      <c r="B7" s="19" t="s">
        <v>64</v>
      </c>
      <c r="D7" s="20">
        <f>'General Inputs'!C2</f>
        <v>2025</v>
      </c>
      <c r="E7" s="20">
        <f>D7+1</f>
        <v>2026</v>
      </c>
      <c r="F7" s="21">
        <f>E7+1</f>
        <v>2027</v>
      </c>
      <c r="H7" s="2">
        <v>2028</v>
      </c>
      <c r="I7" s="28">
        <v>0.21347363035687586</v>
      </c>
      <c r="J7" s="32">
        <v>0.21407134984315668</v>
      </c>
    </row>
    <row r="8" spans="2:10" x14ac:dyDescent="0.2">
      <c r="B8" s="22"/>
      <c r="C8" s="5"/>
      <c r="D8" s="5"/>
      <c r="E8" s="5"/>
      <c r="F8" s="6"/>
      <c r="H8" s="2">
        <v>2029</v>
      </c>
      <c r="I8" s="28">
        <v>0.2234368149343452</v>
      </c>
      <c r="J8" s="32">
        <v>0.22404648881035161</v>
      </c>
    </row>
    <row r="9" spans="2:10" x14ac:dyDescent="0.2">
      <c r="B9" s="23"/>
      <c r="C9" s="24" t="s">
        <v>65</v>
      </c>
      <c r="D9" s="5"/>
      <c r="E9" s="5"/>
      <c r="F9" s="6"/>
      <c r="H9" s="2">
        <v>2030</v>
      </c>
      <c r="I9" s="28">
        <v>0.24113975413420119</v>
      </c>
      <c r="J9" s="32">
        <v>0.24176162148772776</v>
      </c>
    </row>
    <row r="10" spans="2:10" x14ac:dyDescent="0.2">
      <c r="B10" s="308">
        <v>1</v>
      </c>
      <c r="C10" s="317" t="s">
        <v>66</v>
      </c>
      <c r="D10" s="318">
        <v>12161.469685341519</v>
      </c>
      <c r="E10" s="318">
        <v>12103.152724481963</v>
      </c>
      <c r="F10" s="319">
        <v>12101.894346380146</v>
      </c>
      <c r="H10" s="2">
        <v>2031</v>
      </c>
      <c r="I10" s="28">
        <v>0.25487761838532957</v>
      </c>
      <c r="J10" s="32">
        <v>0.25551192308592668</v>
      </c>
    </row>
    <row r="11" spans="2:10" x14ac:dyDescent="0.2">
      <c r="B11" s="308">
        <v>2</v>
      </c>
      <c r="C11" s="317" t="s">
        <v>67</v>
      </c>
      <c r="D11" s="320">
        <v>1506031.32</v>
      </c>
      <c r="E11" s="320">
        <v>1815853.71</v>
      </c>
      <c r="F11" s="321">
        <v>2001921.24</v>
      </c>
      <c r="H11" s="2">
        <v>2032</v>
      </c>
      <c r="I11" s="28">
        <v>0.25265638376553806</v>
      </c>
      <c r="J11" s="32">
        <v>0.25330337456014707</v>
      </c>
    </row>
    <row r="12" spans="2:10" ht="13.5" customHeight="1" x14ac:dyDescent="0.2">
      <c r="B12" s="25"/>
      <c r="D12" s="74"/>
      <c r="E12" s="74"/>
      <c r="F12" s="75"/>
      <c r="H12" s="2">
        <v>2033</v>
      </c>
      <c r="I12" s="28">
        <v>0.26540012789662942</v>
      </c>
      <c r="J12" s="32">
        <v>0.2660600585071306</v>
      </c>
    </row>
    <row r="13" spans="2:10" x14ac:dyDescent="0.2">
      <c r="B13" s="308">
        <v>3</v>
      </c>
      <c r="C13" s="317" t="s">
        <v>68</v>
      </c>
      <c r="D13" s="322"/>
      <c r="E13" s="322"/>
      <c r="F13" s="323"/>
      <c r="H13" s="2">
        <v>2034</v>
      </c>
      <c r="I13" s="28">
        <v>0.27434840594148913</v>
      </c>
      <c r="J13" s="32">
        <v>0.27502153516420036</v>
      </c>
    </row>
    <row r="14" spans="2:10" x14ac:dyDescent="0.2">
      <c r="B14" s="2"/>
      <c r="C14" s="317" t="s">
        <v>69</v>
      </c>
      <c r="D14" s="322">
        <v>123.83629273156451</v>
      </c>
      <c r="E14" s="322">
        <v>150.03146298624617</v>
      </c>
      <c r="F14" s="323">
        <v>165.42213827860792</v>
      </c>
      <c r="H14" s="2">
        <v>2035</v>
      </c>
      <c r="I14" s="28">
        <v>0.2808442309738281</v>
      </c>
      <c r="J14" s="32">
        <v>0.28153082278099356</v>
      </c>
    </row>
    <row r="15" spans="2:10" x14ac:dyDescent="0.2">
      <c r="B15" s="2"/>
      <c r="D15" s="74"/>
      <c r="E15" s="74"/>
      <c r="F15" s="75"/>
      <c r="H15" s="2">
        <v>2036</v>
      </c>
      <c r="I15" s="28">
        <v>0.28545078501949805</v>
      </c>
      <c r="J15" s="32">
        <v>0.2861511086628068</v>
      </c>
    </row>
    <row r="16" spans="2:10" x14ac:dyDescent="0.2">
      <c r="B16" s="25"/>
      <c r="C16" s="26" t="s">
        <v>70</v>
      </c>
      <c r="D16" s="74"/>
      <c r="E16" s="74"/>
      <c r="F16" s="75"/>
      <c r="H16" s="2">
        <v>2037</v>
      </c>
      <c r="I16" s="28">
        <v>0.28803544415384769</v>
      </c>
      <c r="J16" s="32">
        <v>0.28874977427002263</v>
      </c>
    </row>
    <row r="17" spans="2:10" x14ac:dyDescent="0.2">
      <c r="B17" s="308">
        <v>4</v>
      </c>
      <c r="C17" s="317" t="s">
        <v>71</v>
      </c>
      <c r="D17" s="320">
        <v>10.88504726</v>
      </c>
      <c r="E17" s="320">
        <v>10.88504726</v>
      </c>
      <c r="F17" s="321">
        <v>10.88504726</v>
      </c>
      <c r="H17" s="2">
        <v>2038</v>
      </c>
      <c r="I17" s="28">
        <v>0.29259305538284042</v>
      </c>
      <c r="J17" s="32">
        <v>0.29332167210133886</v>
      </c>
    </row>
    <row r="18" spans="2:10" x14ac:dyDescent="0.2">
      <c r="B18" s="308">
        <v>5</v>
      </c>
      <c r="C18" s="317" t="s">
        <v>67</v>
      </c>
      <c r="D18" s="324">
        <v>1504437.9099999997</v>
      </c>
      <c r="E18" s="324">
        <v>1813978.68</v>
      </c>
      <c r="F18" s="325">
        <v>1999977.98</v>
      </c>
      <c r="H18" s="2">
        <v>2039</v>
      </c>
      <c r="I18" s="28">
        <v>0.30951830166586924</v>
      </c>
      <c r="J18" s="32">
        <v>0.31026149071873765</v>
      </c>
    </row>
    <row r="19" spans="2:10" x14ac:dyDescent="0.2">
      <c r="B19" s="25"/>
      <c r="D19" s="322"/>
      <c r="E19" s="322"/>
      <c r="F19" s="323"/>
      <c r="H19" s="2">
        <v>2040</v>
      </c>
      <c r="I19" s="28">
        <v>0.3224012961623649</v>
      </c>
      <c r="J19" s="32">
        <v>0.32315934899629067</v>
      </c>
    </row>
    <row r="20" spans="2:10" x14ac:dyDescent="0.2">
      <c r="B20" s="308">
        <v>6</v>
      </c>
      <c r="C20" s="317" t="s">
        <v>72</v>
      </c>
      <c r="D20" s="322"/>
      <c r="E20" s="322"/>
      <c r="F20" s="323"/>
      <c r="H20" s="2">
        <v>2041</v>
      </c>
      <c r="I20" s="28">
        <v>0.33295468588406751</v>
      </c>
      <c r="J20" s="32">
        <v>0.33372789977467177</v>
      </c>
    </row>
    <row r="21" spans="2:10" x14ac:dyDescent="0.2">
      <c r="B21" s="308"/>
      <c r="C21" s="317" t="s">
        <v>73</v>
      </c>
      <c r="D21" s="322">
        <v>146.38521652136416</v>
      </c>
      <c r="E21" s="322">
        <v>172.25740552274166</v>
      </c>
      <c r="F21" s="323">
        <v>178.52563737973236</v>
      </c>
      <c r="H21" s="2">
        <v>2042</v>
      </c>
      <c r="I21" s="28">
        <v>0.34374669501674282</v>
      </c>
      <c r="J21" s="32">
        <v>0.34453537318515914</v>
      </c>
    </row>
    <row r="22" spans="2:10" x14ac:dyDescent="0.2">
      <c r="B22" s="2"/>
      <c r="D22" s="74"/>
      <c r="E22" s="74"/>
      <c r="F22" s="75"/>
      <c r="H22" s="2">
        <v>2043</v>
      </c>
      <c r="I22" s="28">
        <v>0.36079459292809007</v>
      </c>
      <c r="J22" s="32">
        <v>0.36159904465987475</v>
      </c>
    </row>
    <row r="23" spans="2:10" x14ac:dyDescent="0.2">
      <c r="B23" s="25"/>
      <c r="C23" s="26" t="s">
        <v>74</v>
      </c>
      <c r="D23" s="74"/>
      <c r="E23" s="74"/>
      <c r="F23" s="75"/>
      <c r="H23" s="2">
        <v>2044</v>
      </c>
      <c r="I23" s="28">
        <v>0.38072290862412483</v>
      </c>
      <c r="J23" s="32">
        <v>0.38154344939054519</v>
      </c>
    </row>
    <row r="24" spans="2:10" x14ac:dyDescent="0.2">
      <c r="B24" s="308">
        <v>7</v>
      </c>
      <c r="C24" s="317" t="s">
        <v>71</v>
      </c>
      <c r="D24" s="320">
        <v>38.35716335</v>
      </c>
      <c r="E24" s="320">
        <v>38.35716335</v>
      </c>
      <c r="F24" s="321">
        <v>38.35716335</v>
      </c>
      <c r="H24" s="2">
        <v>2045</v>
      </c>
      <c r="I24" s="28">
        <v>0.39722839678831301</v>
      </c>
      <c r="J24" s="32">
        <v>0.3980653483700618</v>
      </c>
    </row>
    <row r="25" spans="2:10" x14ac:dyDescent="0.2">
      <c r="B25" s="308">
        <v>8</v>
      </c>
      <c r="C25" s="317" t="s">
        <v>67</v>
      </c>
      <c r="D25" s="324">
        <v>1500238.83</v>
      </c>
      <c r="E25" s="324">
        <v>1809066.42</v>
      </c>
      <c r="F25" s="325">
        <v>1995005.3900000001</v>
      </c>
      <c r="H25" s="2">
        <v>2046</v>
      </c>
      <c r="I25" s="28">
        <v>0.40499461815963717</v>
      </c>
      <c r="J25" s="32">
        <v>0.40584830877302092</v>
      </c>
    </row>
    <row r="26" spans="2:10" x14ac:dyDescent="0.2">
      <c r="B26" s="25"/>
      <c r="D26" s="322"/>
      <c r="E26" s="322"/>
      <c r="F26" s="323"/>
      <c r="H26" s="2">
        <v>2047</v>
      </c>
      <c r="I26" s="28">
        <v>0.41908755814888093</v>
      </c>
      <c r="J26" s="32">
        <v>0.41995832257453242</v>
      </c>
    </row>
    <row r="27" spans="2:10" x14ac:dyDescent="0.2">
      <c r="B27" s="308">
        <v>9</v>
      </c>
      <c r="C27" s="317" t="s">
        <v>72</v>
      </c>
      <c r="D27" s="74"/>
      <c r="E27" s="74"/>
      <c r="F27" s="75"/>
      <c r="H27" s="2">
        <v>2048</v>
      </c>
      <c r="I27" s="28">
        <v>0.43358221789042839</v>
      </c>
      <c r="J27" s="32">
        <v>0.43447039760459283</v>
      </c>
    </row>
    <row r="28" spans="2:10" ht="12.75" customHeight="1" x14ac:dyDescent="0.2">
      <c r="B28" s="314"/>
      <c r="C28" s="317" t="s">
        <v>73</v>
      </c>
      <c r="D28" s="322">
        <v>151.01455618980205</v>
      </c>
      <c r="E28" s="322">
        <v>176.9497378642844</v>
      </c>
      <c r="F28" s="323">
        <v>180.30139342928913</v>
      </c>
      <c r="H28" s="2">
        <v>2049</v>
      </c>
      <c r="I28" s="28">
        <v>0.44848902899837817</v>
      </c>
      <c r="J28" s="32">
        <v>0.44939497230682596</v>
      </c>
    </row>
    <row r="29" spans="2:10" x14ac:dyDescent="0.2">
      <c r="B29" s="3"/>
      <c r="C29" s="317"/>
      <c r="D29" s="76"/>
      <c r="E29" s="76"/>
      <c r="F29" s="77"/>
      <c r="H29" s="2">
        <v>2050</v>
      </c>
      <c r="I29" s="28">
        <v>0.46381867966349216</v>
      </c>
      <c r="J29" s="32">
        <v>0.46474274183810887</v>
      </c>
    </row>
    <row r="30" spans="2:10" x14ac:dyDescent="0.2">
      <c r="H30" s="2">
        <v>2051</v>
      </c>
      <c r="I30" s="28">
        <v>0.47958212074360901</v>
      </c>
      <c r="J30" s="32">
        <v>0.48052466416171807</v>
      </c>
    </row>
    <row r="31" spans="2:10" x14ac:dyDescent="0.2">
      <c r="D31" s="60"/>
      <c r="E31" s="60"/>
      <c r="H31" s="2">
        <v>2052</v>
      </c>
      <c r="I31" s="28">
        <v>0.49579057199506743</v>
      </c>
      <c r="J31" s="32">
        <v>0.49675196628153867</v>
      </c>
    </row>
    <row r="32" spans="2:10" x14ac:dyDescent="0.2">
      <c r="H32" s="2">
        <v>2053</v>
      </c>
      <c r="I32" s="28">
        <v>0.51245552844828446</v>
      </c>
      <c r="J32" s="32">
        <v>0.51343615062048509</v>
      </c>
    </row>
    <row r="33" spans="3:10" x14ac:dyDescent="0.2">
      <c r="H33" s="3">
        <v>2054</v>
      </c>
      <c r="I33" s="34">
        <v>0.52958876693083445</v>
      </c>
      <c r="J33" s="35">
        <v>0.53058900154647914</v>
      </c>
    </row>
    <row r="34" spans="3:10" x14ac:dyDescent="0.2">
      <c r="H34" s="377" t="s">
        <v>75</v>
      </c>
      <c r="I34" s="378"/>
      <c r="J34" s="379"/>
    </row>
    <row r="35" spans="3:10" ht="12.75" customHeight="1" x14ac:dyDescent="0.2">
      <c r="H35" s="380"/>
      <c r="I35" s="381"/>
      <c r="J35" s="382"/>
    </row>
    <row r="37" spans="3:10" ht="12.75" customHeight="1" x14ac:dyDescent="0.2"/>
    <row r="38" spans="3:10" ht="12.75" customHeight="1" x14ac:dyDescent="0.2"/>
    <row r="39" spans="3:10" x14ac:dyDescent="0.2">
      <c r="D39" s="8"/>
      <c r="E39" s="8"/>
    </row>
    <row r="41" spans="3:10" x14ac:dyDescent="0.2">
      <c r="C41" s="9"/>
      <c r="D41" s="9"/>
      <c r="E41" s="9"/>
      <c r="F41" s="9"/>
    </row>
    <row r="42" spans="3:10" x14ac:dyDescent="0.2">
      <c r="C42" s="9"/>
      <c r="D42" s="9"/>
      <c r="E42" s="9"/>
      <c r="F42" s="9"/>
    </row>
    <row r="43" spans="3:10" x14ac:dyDescent="0.2">
      <c r="F43" s="10"/>
    </row>
    <row r="44" spans="3:10" x14ac:dyDescent="0.2">
      <c r="C44" s="11"/>
      <c r="D44" s="11"/>
      <c r="E44" s="11"/>
      <c r="F44" s="11"/>
    </row>
    <row r="45" spans="3:10" x14ac:dyDescent="0.2">
      <c r="C45" s="11"/>
      <c r="D45" s="11"/>
      <c r="E45" s="11"/>
      <c r="F45" s="11"/>
    </row>
    <row r="48" spans="3:10" x14ac:dyDescent="0.2">
      <c r="C48" s="12"/>
      <c r="D48" s="12"/>
      <c r="E48" s="12"/>
      <c r="F48" s="12"/>
    </row>
    <row r="49" spans="3:6" x14ac:dyDescent="0.2">
      <c r="C49" s="9"/>
      <c r="D49" s="9"/>
      <c r="E49" s="9"/>
      <c r="F49" s="9"/>
    </row>
    <row r="50" spans="3:6" x14ac:dyDescent="0.2">
      <c r="C50" s="9"/>
      <c r="D50" s="9"/>
      <c r="E50" s="9"/>
      <c r="F50" s="10"/>
    </row>
    <row r="51" spans="3:6" x14ac:dyDescent="0.2">
      <c r="C51" s="11"/>
      <c r="D51" s="11"/>
      <c r="E51" s="11"/>
      <c r="F51" s="11"/>
    </row>
    <row r="52" spans="3:6" x14ac:dyDescent="0.2">
      <c r="C52" s="11"/>
      <c r="D52" s="11"/>
      <c r="E52" s="11"/>
      <c r="F52" s="11"/>
    </row>
    <row r="55" spans="3:6" x14ac:dyDescent="0.2">
      <c r="C55" s="12"/>
      <c r="D55" s="12"/>
      <c r="E55" s="12"/>
      <c r="F55" s="12"/>
    </row>
    <row r="56" spans="3:6" x14ac:dyDescent="0.2">
      <c r="C56" s="9"/>
      <c r="D56" s="9"/>
      <c r="E56" s="9"/>
      <c r="F56" s="9"/>
    </row>
    <row r="57" spans="3:6" x14ac:dyDescent="0.2">
      <c r="C57" s="9"/>
      <c r="D57" s="9"/>
      <c r="E57" s="9"/>
      <c r="F57" s="10"/>
    </row>
    <row r="58" spans="3:6" x14ac:dyDescent="0.2">
      <c r="C58" s="11"/>
      <c r="D58" s="11"/>
      <c r="E58" s="11"/>
      <c r="F58" s="11"/>
    </row>
    <row r="59" spans="3:6" x14ac:dyDescent="0.2">
      <c r="C59" s="11"/>
      <c r="D59" s="11"/>
      <c r="E59" s="11"/>
      <c r="F59" s="11"/>
    </row>
    <row r="62" spans="3:6" x14ac:dyDescent="0.2">
      <c r="C62" s="13"/>
      <c r="D62" s="13"/>
      <c r="E62" s="13"/>
      <c r="F62" s="13"/>
    </row>
    <row r="63" spans="3:6" x14ac:dyDescent="0.2">
      <c r="C63" s="9"/>
      <c r="D63" s="9"/>
      <c r="E63" s="9"/>
      <c r="F63" s="9"/>
    </row>
    <row r="64" spans="3:6" x14ac:dyDescent="0.2">
      <c r="C64" s="9"/>
      <c r="D64" s="9"/>
      <c r="E64" s="9"/>
      <c r="F64" s="10"/>
    </row>
    <row r="65" spans="3:6" x14ac:dyDescent="0.2">
      <c r="C65" s="11"/>
      <c r="D65" s="11"/>
      <c r="E65" s="11"/>
      <c r="F65" s="11"/>
    </row>
    <row r="66" spans="3:6" x14ac:dyDescent="0.2">
      <c r="C66" s="11"/>
      <c r="D66" s="11"/>
      <c r="E66" s="11"/>
      <c r="F66" s="11"/>
    </row>
    <row r="69" spans="3:6" x14ac:dyDescent="0.2">
      <c r="C69" s="12"/>
      <c r="D69" s="12"/>
      <c r="E69" s="12"/>
      <c r="F69" s="12"/>
    </row>
    <row r="70" spans="3:6" x14ac:dyDescent="0.2">
      <c r="C70" s="9"/>
      <c r="D70" s="9"/>
      <c r="E70" s="9"/>
      <c r="F70" s="9"/>
    </row>
    <row r="72" spans="3:6" x14ac:dyDescent="0.2">
      <c r="C72" s="11"/>
      <c r="D72" s="11"/>
      <c r="E72" s="11"/>
      <c r="F72" s="11"/>
    </row>
    <row r="73" spans="3:6" x14ac:dyDescent="0.2">
      <c r="C73" s="11"/>
      <c r="D73" s="11"/>
      <c r="E73" s="11"/>
      <c r="F73" s="11"/>
    </row>
  </sheetData>
  <mergeCells count="2">
    <mergeCell ref="H34:J35"/>
    <mergeCell ref="H2:J2"/>
  </mergeCells>
  <pageMargins left="0.7" right="0.7" top="0.75" bottom="0.75" header="0.3" footer="0.3"/>
  <pageSetup scale="7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34A08-5D29-4B1F-9946-07528BBE6910}">
  <sheetPr>
    <pageSetUpPr fitToPage="1"/>
  </sheetPr>
  <dimension ref="A1:J73"/>
  <sheetViews>
    <sheetView showGridLines="0" zoomScaleNormal="100" zoomScaleSheetLayoutView="90" workbookViewId="0">
      <selection activeCell="C2" sqref="C2"/>
    </sheetView>
  </sheetViews>
  <sheetFormatPr defaultColWidth="9.140625" defaultRowHeight="12.75" x14ac:dyDescent="0.2"/>
  <cols>
    <col min="1" max="1" width="7.140625" style="7" customWidth="1"/>
    <col min="2" max="2" width="9.140625" style="7" customWidth="1"/>
    <col min="3" max="3" width="40.85546875" style="7" customWidth="1"/>
    <col min="4" max="4" width="13.85546875" style="7" bestFit="1" customWidth="1"/>
    <col min="5" max="5" width="9.5703125" style="7" bestFit="1" customWidth="1"/>
    <col min="6" max="6" width="11.140625" style="7" bestFit="1" customWidth="1"/>
    <col min="7" max="7" width="12.42578125" style="7" customWidth="1"/>
    <col min="8" max="8" width="12.85546875" style="7" customWidth="1"/>
    <col min="9" max="9" width="11.85546875" style="7" customWidth="1"/>
    <col min="10" max="10" width="13.140625" style="7" customWidth="1"/>
    <col min="11" max="11" width="7.140625" style="7" customWidth="1"/>
    <col min="12" max="14" width="17.140625" style="7" customWidth="1"/>
    <col min="15" max="16384" width="9.140625" style="7"/>
  </cols>
  <sheetData>
    <row r="1" spans="1:10" ht="15" customHeight="1" x14ac:dyDescent="0.2">
      <c r="B1" s="71" t="s">
        <v>0</v>
      </c>
    </row>
    <row r="2" spans="1:10" ht="25.5" customHeight="1" x14ac:dyDescent="0.2">
      <c r="B2" s="326" t="s">
        <v>51</v>
      </c>
      <c r="C2" s="327"/>
      <c r="D2" s="327"/>
      <c r="E2" s="327"/>
      <c r="F2" s="328"/>
      <c r="H2" s="383" t="s">
        <v>58</v>
      </c>
      <c r="I2" s="384"/>
      <c r="J2" s="385"/>
    </row>
    <row r="3" spans="1:10" ht="38.25" x14ac:dyDescent="0.2">
      <c r="B3" s="129"/>
      <c r="D3" s="7" t="str">
        <f>"Volumes and Total Costs, "&amp;D7&amp;" - "&amp;F7</f>
        <v>Volumes and Total Costs, 2025 - 2027</v>
      </c>
      <c r="F3" s="110"/>
      <c r="H3" s="111" t="s">
        <v>17</v>
      </c>
      <c r="I3" s="329" t="s">
        <v>59</v>
      </c>
      <c r="J3" s="330" t="s">
        <v>60</v>
      </c>
    </row>
    <row r="4" spans="1:10" x14ac:dyDescent="0.2">
      <c r="B4" s="129"/>
      <c r="F4" s="110"/>
      <c r="H4" s="112">
        <v>2025</v>
      </c>
      <c r="I4" s="107">
        <f>D21/1000</f>
        <v>0.14656944000905098</v>
      </c>
      <c r="J4" s="79">
        <f>D28/1000</f>
        <v>0.1519838312631705</v>
      </c>
    </row>
    <row r="5" spans="1:10" x14ac:dyDescent="0.2">
      <c r="B5" s="129"/>
      <c r="D5" s="159" t="s">
        <v>61</v>
      </c>
      <c r="E5" s="159" t="s">
        <v>62</v>
      </c>
      <c r="F5" s="113" t="s">
        <v>63</v>
      </c>
      <c r="H5" s="112">
        <v>2026</v>
      </c>
      <c r="I5" s="107">
        <f>E21/1000</f>
        <v>0.1871874229985922</v>
      </c>
      <c r="J5" s="79">
        <f>E28/1000</f>
        <v>0.19985724286508086</v>
      </c>
    </row>
    <row r="6" spans="1:10" x14ac:dyDescent="0.2">
      <c r="B6" s="129"/>
      <c r="F6" s="110"/>
      <c r="H6" s="112">
        <v>2027</v>
      </c>
      <c r="I6" s="107">
        <f>F21/1000</f>
        <v>0.20654232048411689</v>
      </c>
      <c r="J6" s="79">
        <f>F28/1000</f>
        <v>0.22851012993249417</v>
      </c>
    </row>
    <row r="7" spans="1:10" x14ac:dyDescent="0.2">
      <c r="B7" s="114" t="s">
        <v>64</v>
      </c>
      <c r="D7" s="160">
        <f>'General Inputs'!C2</f>
        <v>2025</v>
      </c>
      <c r="E7" s="160">
        <f>D7+1</f>
        <v>2026</v>
      </c>
      <c r="F7" s="115">
        <f>E7+1</f>
        <v>2027</v>
      </c>
      <c r="H7" s="112">
        <v>2028</v>
      </c>
      <c r="I7" s="107">
        <v>0.23774058618099306</v>
      </c>
      <c r="J7" s="79">
        <v>0.24222201930846204</v>
      </c>
    </row>
    <row r="8" spans="1:10" x14ac:dyDescent="0.2">
      <c r="A8" s="116"/>
      <c r="B8" s="117"/>
      <c r="C8" s="118"/>
      <c r="D8" s="118"/>
      <c r="E8" s="118"/>
      <c r="F8" s="119"/>
      <c r="H8" s="112">
        <v>2029</v>
      </c>
      <c r="I8" s="107">
        <v>0.27630574801595043</v>
      </c>
      <c r="J8" s="79">
        <v>0.28087680980596874</v>
      </c>
    </row>
    <row r="9" spans="1:10" x14ac:dyDescent="0.2">
      <c r="A9" s="120"/>
      <c r="B9" s="23"/>
      <c r="C9" s="24" t="s">
        <v>65</v>
      </c>
      <c r="D9" s="5"/>
      <c r="E9" s="5"/>
      <c r="F9" s="6"/>
      <c r="H9" s="112">
        <v>2030</v>
      </c>
      <c r="I9" s="107">
        <v>0.29984636038192752</v>
      </c>
      <c r="J9" s="79">
        <v>0.30450884340774625</v>
      </c>
    </row>
    <row r="10" spans="1:10" x14ac:dyDescent="0.2">
      <c r="A10" s="120"/>
      <c r="B10" s="308">
        <v>1</v>
      </c>
      <c r="C10" s="317" t="s">
        <v>66</v>
      </c>
      <c r="D10" s="318">
        <v>5079.6011731457402</v>
      </c>
      <c r="E10" s="318">
        <v>5078.3851599990248</v>
      </c>
      <c r="F10" s="319">
        <v>5078.5372387022198</v>
      </c>
      <c r="H10" s="112">
        <v>2031</v>
      </c>
      <c r="I10" s="107">
        <v>0.31650889811439903</v>
      </c>
      <c r="J10" s="79">
        <v>0.32126463080073414</v>
      </c>
    </row>
    <row r="11" spans="1:10" x14ac:dyDescent="0.2">
      <c r="A11" s="120"/>
      <c r="B11" s="308">
        <v>2</v>
      </c>
      <c r="C11" s="317" t="s">
        <v>67</v>
      </c>
      <c r="D11" s="320">
        <v>792672.25522796693</v>
      </c>
      <c r="E11" s="320">
        <v>953554.35531137674</v>
      </c>
      <c r="F11" s="321">
        <v>1064593.3082089445</v>
      </c>
      <c r="H11" s="112">
        <v>2032</v>
      </c>
      <c r="I11" s="107">
        <v>0.31980884109534435</v>
      </c>
      <c r="J11" s="79">
        <v>0.32465968843540616</v>
      </c>
    </row>
    <row r="12" spans="1:10" ht="13.5" customHeight="1" x14ac:dyDescent="0.2">
      <c r="A12" s="120"/>
      <c r="B12" s="25"/>
      <c r="C12" s="1"/>
      <c r="D12" s="74"/>
      <c r="E12" s="74"/>
      <c r="F12" s="75"/>
      <c r="H12" s="112">
        <v>2033</v>
      </c>
      <c r="I12" s="107">
        <v>0.33018523531425165</v>
      </c>
      <c r="J12" s="79">
        <v>0.3351330996011147</v>
      </c>
    </row>
    <row r="13" spans="1:10" x14ac:dyDescent="0.2">
      <c r="A13" s="120"/>
      <c r="B13" s="308">
        <v>3</v>
      </c>
      <c r="C13" s="317" t="s">
        <v>68</v>
      </c>
      <c r="D13" s="322"/>
      <c r="E13" s="322"/>
      <c r="F13" s="323"/>
      <c r="H13" s="112">
        <v>2034</v>
      </c>
      <c r="I13" s="107">
        <v>0.32607969405525772</v>
      </c>
      <c r="J13" s="79">
        <v>0.331126515627858</v>
      </c>
    </row>
    <row r="14" spans="1:10" x14ac:dyDescent="0.2">
      <c r="A14" s="120"/>
      <c r="B14" s="2"/>
      <c r="C14" s="317" t="s">
        <v>69</v>
      </c>
      <c r="D14" s="322">
        <v>156.05009688921578</v>
      </c>
      <c r="E14" s="322">
        <v>187.76723806265215</v>
      </c>
      <c r="F14" s="323">
        <v>209.62597263163772</v>
      </c>
      <c r="H14" s="112">
        <v>2035</v>
      </c>
      <c r="I14" s="107">
        <v>0.32465348044900844</v>
      </c>
      <c r="J14" s="79">
        <v>0.3298012384530607</v>
      </c>
    </row>
    <row r="15" spans="1:10" x14ac:dyDescent="0.2">
      <c r="A15" s="120"/>
      <c r="B15" s="2"/>
      <c r="C15" s="1"/>
      <c r="D15" s="74"/>
      <c r="E15" s="74"/>
      <c r="F15" s="75"/>
      <c r="H15" s="112">
        <v>2036</v>
      </c>
      <c r="I15" s="107">
        <v>0.32872621614722136</v>
      </c>
      <c r="J15" s="79">
        <v>0.3339769293113547</v>
      </c>
    </row>
    <row r="16" spans="1:10" x14ac:dyDescent="0.2">
      <c r="A16" s="120"/>
      <c r="B16" s="25"/>
      <c r="C16" s="26" t="s">
        <v>70</v>
      </c>
      <c r="D16" s="74"/>
      <c r="E16" s="74"/>
      <c r="F16" s="75"/>
      <c r="H16" s="112">
        <v>2037</v>
      </c>
      <c r="I16" s="107">
        <v>0.34201710361750426</v>
      </c>
      <c r="J16" s="79">
        <v>0.34737283104492023</v>
      </c>
    </row>
    <row r="17" spans="1:10" x14ac:dyDescent="0.2">
      <c r="A17" s="120"/>
      <c r="B17" s="308">
        <v>4</v>
      </c>
      <c r="C17" s="317" t="s">
        <v>71</v>
      </c>
      <c r="D17" s="320">
        <v>3.8153611499819888</v>
      </c>
      <c r="E17" s="320">
        <v>3.7925505209132386</v>
      </c>
      <c r="F17" s="321">
        <v>3.7664612914627988</v>
      </c>
      <c r="H17" s="112">
        <v>2038</v>
      </c>
      <c r="I17" s="107">
        <v>0.3593956101714697</v>
      </c>
      <c r="J17" s="79">
        <v>0.36485845214743406</v>
      </c>
    </row>
    <row r="18" spans="1:10" x14ac:dyDescent="0.2">
      <c r="A18" s="120"/>
      <c r="B18" s="308">
        <v>5</v>
      </c>
      <c r="C18" s="317" t="s">
        <v>67</v>
      </c>
      <c r="D18" s="324">
        <v>792113.03988078178</v>
      </c>
      <c r="E18" s="324">
        <v>952844.43755277502</v>
      </c>
      <c r="F18" s="325">
        <v>1063815.3745537922</v>
      </c>
      <c r="H18" s="112">
        <v>2039</v>
      </c>
      <c r="I18" s="107">
        <v>0.37199683095573133</v>
      </c>
      <c r="J18" s="79">
        <v>0.37756892977121492</v>
      </c>
    </row>
    <row r="19" spans="1:10" x14ac:dyDescent="0.2">
      <c r="A19" s="120"/>
      <c r="B19" s="25"/>
      <c r="C19" s="1"/>
      <c r="D19" s="322"/>
      <c r="E19" s="322"/>
      <c r="F19" s="323"/>
      <c r="H19" s="112">
        <v>2040</v>
      </c>
      <c r="I19" s="107">
        <v>0.38056315260088863</v>
      </c>
      <c r="J19" s="79">
        <v>0.38624669339268192</v>
      </c>
    </row>
    <row r="20" spans="1:10" x14ac:dyDescent="0.2">
      <c r="A20" s="120"/>
      <c r="B20" s="308">
        <v>6</v>
      </c>
      <c r="C20" s="317" t="s">
        <v>72</v>
      </c>
      <c r="D20" s="322"/>
      <c r="E20" s="322"/>
      <c r="F20" s="323"/>
      <c r="H20" s="112">
        <v>2041</v>
      </c>
      <c r="I20" s="107">
        <v>0.3981666661850618</v>
      </c>
      <c r="J20" s="79">
        <v>0.40396387779269094</v>
      </c>
    </row>
    <row r="21" spans="1:10" x14ac:dyDescent="0.2">
      <c r="A21" s="120"/>
      <c r="B21" s="308"/>
      <c r="C21" s="317" t="s">
        <v>73</v>
      </c>
      <c r="D21" s="322">
        <v>146.56944000905096</v>
      </c>
      <c r="E21" s="322">
        <v>187.18742299859221</v>
      </c>
      <c r="F21" s="323">
        <v>206.54232048411689</v>
      </c>
      <c r="H21" s="112">
        <v>2042</v>
      </c>
      <c r="I21" s="107">
        <v>0.40497226334795594</v>
      </c>
      <c r="J21" s="79">
        <v>0.41088541918773769</v>
      </c>
    </row>
    <row r="22" spans="1:10" x14ac:dyDescent="0.2">
      <c r="A22" s="120"/>
      <c r="B22" s="2"/>
      <c r="C22" s="1"/>
      <c r="D22" s="74"/>
      <c r="E22" s="74"/>
      <c r="F22" s="75"/>
      <c r="H22" s="112">
        <v>2043</v>
      </c>
      <c r="I22" s="107">
        <v>0.42802763556814261</v>
      </c>
      <c r="J22" s="79">
        <v>0.43405905452471999</v>
      </c>
    </row>
    <row r="23" spans="1:10" x14ac:dyDescent="0.2">
      <c r="A23" s="120"/>
      <c r="B23" s="25"/>
      <c r="C23" s="26" t="s">
        <v>74</v>
      </c>
      <c r="D23" s="74"/>
      <c r="E23" s="74"/>
      <c r="F23" s="75"/>
      <c r="H23" s="112">
        <v>2044</v>
      </c>
      <c r="I23" s="107">
        <v>0.43688171864432523</v>
      </c>
      <c r="J23" s="79">
        <v>0.44303376598003419</v>
      </c>
    </row>
    <row r="24" spans="1:10" x14ac:dyDescent="0.2">
      <c r="A24" s="120"/>
      <c r="B24" s="308">
        <v>7</v>
      </c>
      <c r="C24" s="317" t="s">
        <v>71</v>
      </c>
      <c r="D24" s="320">
        <v>7.3270888473777251</v>
      </c>
      <c r="E24" s="320">
        <v>7.3501737684659494</v>
      </c>
      <c r="F24" s="321">
        <v>7.3803017748769566</v>
      </c>
      <c r="H24" s="112">
        <v>2045</v>
      </c>
      <c r="I24" s="107">
        <v>0.46861207348754647</v>
      </c>
      <c r="J24" s="79">
        <v>0.47488716176996953</v>
      </c>
    </row>
    <row r="25" spans="1:10" x14ac:dyDescent="0.2">
      <c r="A25" s="120"/>
      <c r="B25" s="308">
        <v>8</v>
      </c>
      <c r="C25" s="317" t="s">
        <v>67</v>
      </c>
      <c r="D25" s="324">
        <v>791558.65619293682</v>
      </c>
      <c r="E25" s="324">
        <v>952085.3698474319</v>
      </c>
      <c r="F25" s="325">
        <v>1062906.8344914264</v>
      </c>
      <c r="H25" s="112">
        <v>2046</v>
      </c>
      <c r="I25" s="107">
        <v>0.48286690282022499</v>
      </c>
      <c r="J25" s="79">
        <v>0.48926749286829652</v>
      </c>
    </row>
    <row r="26" spans="1:10" x14ac:dyDescent="0.2">
      <c r="A26" s="120"/>
      <c r="B26" s="25"/>
      <c r="C26" s="1"/>
      <c r="D26" s="322"/>
      <c r="E26" s="322"/>
      <c r="F26" s="323"/>
      <c r="H26" s="112">
        <v>2047</v>
      </c>
      <c r="I26" s="107">
        <v>0.49989177221181608</v>
      </c>
      <c r="J26" s="79">
        <v>0.50642037406084905</v>
      </c>
    </row>
    <row r="27" spans="1:10" x14ac:dyDescent="0.2">
      <c r="A27" s="120"/>
      <c r="B27" s="308">
        <v>9</v>
      </c>
      <c r="C27" s="317" t="s">
        <v>72</v>
      </c>
      <c r="D27" s="74"/>
      <c r="E27" s="74"/>
      <c r="F27" s="75"/>
      <c r="H27" s="112">
        <v>2048</v>
      </c>
      <c r="I27" s="107">
        <v>0.5174044896179405</v>
      </c>
      <c r="J27" s="79">
        <v>0.52406366350395417</v>
      </c>
    </row>
    <row r="28" spans="1:10" ht="12.75" customHeight="1" x14ac:dyDescent="0.2">
      <c r="A28" s="120"/>
      <c r="B28" s="314"/>
      <c r="C28" s="317" t="s">
        <v>73</v>
      </c>
      <c r="D28" s="322">
        <v>151.98383126317049</v>
      </c>
      <c r="E28" s="322">
        <v>199.85724286508085</v>
      </c>
      <c r="F28" s="323">
        <v>228.51012993249418</v>
      </c>
      <c r="H28" s="112">
        <v>2049</v>
      </c>
      <c r="I28" s="107">
        <v>0.53541775901142519</v>
      </c>
      <c r="J28" s="79">
        <v>0.54221011637515915</v>
      </c>
    </row>
    <row r="29" spans="1:10" x14ac:dyDescent="0.2">
      <c r="A29" s="120"/>
      <c r="B29" s="3"/>
      <c r="C29" s="317"/>
      <c r="D29" s="76"/>
      <c r="E29" s="76"/>
      <c r="F29" s="77"/>
      <c r="H29" s="112">
        <v>2050</v>
      </c>
      <c r="I29" s="107">
        <v>0.55394459738480439</v>
      </c>
      <c r="J29" s="79">
        <v>0.56087280189581301</v>
      </c>
    </row>
    <row r="30" spans="1:10" x14ac:dyDescent="0.2">
      <c r="A30" s="120"/>
      <c r="B30" s="122"/>
      <c r="H30" s="112">
        <v>2051</v>
      </c>
      <c r="I30" s="107">
        <v>0.57299834218951184</v>
      </c>
      <c r="J30" s="79">
        <v>0.58006511079074063</v>
      </c>
    </row>
    <row r="31" spans="1:10" x14ac:dyDescent="0.2">
      <c r="A31" s="120"/>
      <c r="B31" s="122"/>
      <c r="D31" s="123"/>
      <c r="E31" s="123"/>
      <c r="H31" s="112">
        <v>2052</v>
      </c>
      <c r="I31" s="107">
        <v>0.59259265894745605</v>
      </c>
      <c r="J31" s="79">
        <v>0.59980076292070938</v>
      </c>
    </row>
    <row r="32" spans="1:10" x14ac:dyDescent="0.2">
      <c r="A32" s="120"/>
      <c r="B32" s="122"/>
      <c r="H32" s="112">
        <v>2053</v>
      </c>
      <c r="I32" s="107">
        <v>0.61274154903883993</v>
      </c>
      <c r="J32" s="79">
        <v>0.62009381509155825</v>
      </c>
    </row>
    <row r="33" spans="1:10" x14ac:dyDescent="0.2">
      <c r="A33" s="120"/>
      <c r="B33" s="122"/>
      <c r="H33" s="112">
        <v>2054</v>
      </c>
      <c r="I33" s="107">
        <v>0.63345935767030248</v>
      </c>
      <c r="J33" s="79">
        <v>0.64095866904407528</v>
      </c>
    </row>
    <row r="34" spans="1:10" x14ac:dyDescent="0.2">
      <c r="A34" s="120"/>
      <c r="B34" s="122"/>
      <c r="H34" s="386" t="s">
        <v>75</v>
      </c>
      <c r="I34" s="387"/>
      <c r="J34" s="388"/>
    </row>
    <row r="35" spans="1:10" ht="12.75" customHeight="1" x14ac:dyDescent="0.2">
      <c r="A35" s="120"/>
      <c r="B35" s="122"/>
      <c r="H35" s="389"/>
      <c r="I35" s="390"/>
      <c r="J35" s="391"/>
    </row>
    <row r="36" spans="1:10" x14ac:dyDescent="0.2">
      <c r="A36" s="120"/>
      <c r="B36" s="122"/>
    </row>
    <row r="37" spans="1:10" ht="12.75" customHeight="1" x14ac:dyDescent="0.2">
      <c r="A37" s="120"/>
      <c r="B37" s="122"/>
    </row>
    <row r="38" spans="1:10" ht="12.75" customHeight="1" x14ac:dyDescent="0.2">
      <c r="A38" s="120"/>
      <c r="B38" s="122"/>
    </row>
    <row r="39" spans="1:10" x14ac:dyDescent="0.2">
      <c r="H39" s="74"/>
      <c r="I39" s="74"/>
    </row>
    <row r="41" spans="1:10" x14ac:dyDescent="0.2">
      <c r="G41" s="124"/>
      <c r="H41" s="124"/>
      <c r="I41" s="124"/>
      <c r="J41" s="124"/>
    </row>
    <row r="42" spans="1:10" x14ac:dyDescent="0.2">
      <c r="G42" s="124"/>
      <c r="H42" s="124"/>
      <c r="I42" s="124"/>
      <c r="J42" s="124"/>
    </row>
    <row r="43" spans="1:10" x14ac:dyDescent="0.2">
      <c r="J43" s="125"/>
    </row>
    <row r="44" spans="1:10" x14ac:dyDescent="0.2">
      <c r="G44" s="126"/>
      <c r="H44" s="126"/>
      <c r="I44" s="126"/>
      <c r="J44" s="126"/>
    </row>
    <row r="45" spans="1:10" x14ac:dyDescent="0.2">
      <c r="G45" s="126"/>
      <c r="H45" s="126"/>
      <c r="I45" s="126"/>
      <c r="J45" s="126"/>
    </row>
    <row r="48" spans="1:10" x14ac:dyDescent="0.2">
      <c r="G48" s="127"/>
      <c r="H48" s="127"/>
      <c r="I48" s="127"/>
      <c r="J48" s="127"/>
    </row>
    <row r="49" spans="8:10" x14ac:dyDescent="0.2">
      <c r="H49" s="124"/>
      <c r="I49" s="124"/>
      <c r="J49" s="124"/>
    </row>
    <row r="50" spans="8:10" x14ac:dyDescent="0.2">
      <c r="H50" s="124"/>
      <c r="I50" s="124"/>
      <c r="J50" s="125"/>
    </row>
    <row r="51" spans="8:10" x14ac:dyDescent="0.2">
      <c r="H51" s="126"/>
      <c r="I51" s="126"/>
      <c r="J51" s="126"/>
    </row>
    <row r="52" spans="8:10" x14ac:dyDescent="0.2">
      <c r="H52" s="126"/>
      <c r="I52" s="126"/>
      <c r="J52" s="126"/>
    </row>
    <row r="55" spans="8:10" x14ac:dyDescent="0.2">
      <c r="H55" s="127"/>
      <c r="I55" s="127"/>
      <c r="J55" s="127"/>
    </row>
    <row r="56" spans="8:10" x14ac:dyDescent="0.2">
      <c r="H56" s="124"/>
      <c r="I56" s="124"/>
      <c r="J56" s="124"/>
    </row>
    <row r="57" spans="8:10" x14ac:dyDescent="0.2">
      <c r="H57" s="124"/>
      <c r="I57" s="124"/>
      <c r="J57" s="125"/>
    </row>
    <row r="58" spans="8:10" x14ac:dyDescent="0.2">
      <c r="H58" s="126"/>
      <c r="I58" s="126"/>
      <c r="J58" s="126"/>
    </row>
    <row r="59" spans="8:10" x14ac:dyDescent="0.2">
      <c r="H59" s="126"/>
      <c r="I59" s="126"/>
      <c r="J59" s="126"/>
    </row>
    <row r="62" spans="8:10" x14ac:dyDescent="0.2">
      <c r="H62" s="128"/>
      <c r="I62" s="128"/>
      <c r="J62" s="128"/>
    </row>
    <row r="63" spans="8:10" x14ac:dyDescent="0.2">
      <c r="H63" s="124"/>
      <c r="I63" s="124"/>
      <c r="J63" s="124"/>
    </row>
    <row r="64" spans="8:10" x14ac:dyDescent="0.2">
      <c r="H64" s="124"/>
      <c r="I64" s="124"/>
      <c r="J64" s="125"/>
    </row>
    <row r="65" spans="8:10" x14ac:dyDescent="0.2">
      <c r="H65" s="126"/>
      <c r="I65" s="126"/>
      <c r="J65" s="126"/>
    </row>
    <row r="66" spans="8:10" x14ac:dyDescent="0.2">
      <c r="H66" s="126"/>
      <c r="I66" s="126"/>
      <c r="J66" s="126"/>
    </row>
    <row r="69" spans="8:10" x14ac:dyDescent="0.2">
      <c r="H69" s="127"/>
      <c r="I69" s="127"/>
      <c r="J69" s="127"/>
    </row>
    <row r="70" spans="8:10" x14ac:dyDescent="0.2">
      <c r="H70" s="124"/>
      <c r="I70" s="124"/>
      <c r="J70" s="124"/>
    </row>
    <row r="72" spans="8:10" x14ac:dyDescent="0.2">
      <c r="H72" s="126"/>
      <c r="I72" s="126"/>
      <c r="J72" s="126"/>
    </row>
    <row r="73" spans="8:10" x14ac:dyDescent="0.2">
      <c r="H73" s="126"/>
      <c r="I73" s="126"/>
      <c r="J73" s="126"/>
    </row>
  </sheetData>
  <mergeCells count="2">
    <mergeCell ref="H2:J2"/>
    <mergeCell ref="H34:J35"/>
  </mergeCells>
  <pageMargins left="0.74803149606299202" right="0.74803149606299202" top="0.98425196850393704" bottom="0.98425196850393704" header="0.511811023622047" footer="0.511811023622047"/>
  <pageSetup scale="53"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472F0-36BD-470F-BAD8-ABE185D369B3}">
  <sheetPr>
    <pageSetUpPr fitToPage="1"/>
  </sheetPr>
  <dimension ref="A1:I45"/>
  <sheetViews>
    <sheetView zoomScaleNormal="100" workbookViewId="0">
      <selection activeCell="B45" sqref="B45"/>
    </sheetView>
  </sheetViews>
  <sheetFormatPr defaultColWidth="9.140625" defaultRowHeight="12.75" x14ac:dyDescent="0.2"/>
  <cols>
    <col min="1" max="1" width="7.140625" style="1" customWidth="1"/>
    <col min="2" max="6" width="17.140625" style="1" customWidth="1"/>
    <col min="7" max="7" width="7.140625" style="1" customWidth="1"/>
    <col min="8" max="8" width="52.5703125" style="1" bestFit="1" customWidth="1"/>
    <col min="9" max="9" width="19.85546875" style="1" customWidth="1"/>
    <col min="10" max="10" width="9.140625" style="1"/>
    <col min="11" max="15" width="18.85546875" style="1" customWidth="1"/>
    <col min="16" max="16" width="9.140625" style="1"/>
    <col min="17" max="17" width="18.85546875" style="1" customWidth="1"/>
    <col min="18" max="16384" width="9.140625" style="1"/>
  </cols>
  <sheetData>
    <row r="1" spans="1:9" x14ac:dyDescent="0.2">
      <c r="B1" s="71" t="s">
        <v>0</v>
      </c>
      <c r="I1" s="70"/>
    </row>
    <row r="2" spans="1:9" x14ac:dyDescent="0.2">
      <c r="B2" s="331"/>
      <c r="C2" s="312"/>
      <c r="D2" s="312"/>
      <c r="E2" s="312"/>
      <c r="F2" s="313"/>
    </row>
    <row r="3" spans="1:9" ht="14.25" x14ac:dyDescent="0.2">
      <c r="B3" s="4" t="s">
        <v>76</v>
      </c>
      <c r="F3" s="30">
        <f>3.79/1000</f>
        <v>3.79E-3</v>
      </c>
      <c r="H3" s="1" t="s">
        <v>77</v>
      </c>
    </row>
    <row r="4" spans="1:9" ht="14.25" x14ac:dyDescent="0.2">
      <c r="B4" s="4" t="s">
        <v>78</v>
      </c>
      <c r="F4" s="30">
        <f>13.96/1000</f>
        <v>1.396E-2</v>
      </c>
      <c r="H4" s="1" t="s">
        <v>77</v>
      </c>
    </row>
    <row r="5" spans="1:9" x14ac:dyDescent="0.2">
      <c r="B5" s="4" t="s">
        <v>79</v>
      </c>
      <c r="F5" s="29">
        <v>2015</v>
      </c>
    </row>
    <row r="6" spans="1:9" x14ac:dyDescent="0.2">
      <c r="B6" s="4"/>
      <c r="F6" s="30"/>
    </row>
    <row r="7" spans="1:9" x14ac:dyDescent="0.2">
      <c r="B7" s="4" t="s">
        <v>80</v>
      </c>
      <c r="F7" s="55">
        <v>0</v>
      </c>
    </row>
    <row r="8" spans="1:9" x14ac:dyDescent="0.2">
      <c r="B8" s="4" t="s">
        <v>81</v>
      </c>
      <c r="F8" s="55">
        <v>0</v>
      </c>
    </row>
    <row r="9" spans="1:9" x14ac:dyDescent="0.2">
      <c r="B9" s="4" t="s">
        <v>79</v>
      </c>
      <c r="F9" s="55">
        <v>0</v>
      </c>
    </row>
    <row r="10" spans="1:9" x14ac:dyDescent="0.2">
      <c r="B10" s="4"/>
      <c r="F10" s="30"/>
    </row>
    <row r="11" spans="1:9" x14ac:dyDescent="0.2">
      <c r="B11" s="375" t="s">
        <v>53</v>
      </c>
      <c r="C11" s="392"/>
      <c r="D11" s="392"/>
      <c r="E11" s="392"/>
      <c r="F11" s="376"/>
    </row>
    <row r="12" spans="1:9" x14ac:dyDescent="0.2">
      <c r="B12" s="25"/>
      <c r="C12" s="393" t="s">
        <v>82</v>
      </c>
      <c r="D12" s="394"/>
      <c r="E12" s="395" t="s">
        <v>83</v>
      </c>
      <c r="F12" s="396"/>
    </row>
    <row r="13" spans="1:9" s="15" customFormat="1" ht="25.5" x14ac:dyDescent="0.2">
      <c r="A13" s="1"/>
      <c r="B13" s="36" t="s">
        <v>17</v>
      </c>
      <c r="C13" s="36" t="s">
        <v>84</v>
      </c>
      <c r="D13" s="38" t="s">
        <v>85</v>
      </c>
      <c r="E13" s="36" t="s">
        <v>84</v>
      </c>
      <c r="F13" s="38" t="s">
        <v>85</v>
      </c>
      <c r="G13" s="1"/>
    </row>
    <row r="14" spans="1:9" x14ac:dyDescent="0.2">
      <c r="B14" s="31">
        <f>'General Inputs'!C2</f>
        <v>2025</v>
      </c>
      <c r="C14" s="52">
        <f>$F$3*(1+'General Inputs'!$C$4)^($B14-$F$5)</f>
        <v>4.6199888517801293E-3</v>
      </c>
      <c r="D14" s="32">
        <f>$F$4*(1+'General Inputs'!$C$4)^($B14-$F$5)</f>
        <v>1.7017162103126808E-2</v>
      </c>
      <c r="E14" s="56">
        <f>$F$7*'General Inputs'!$C$8*(1+'General Inputs'!$C$4)^(B14-$F$9)</f>
        <v>0</v>
      </c>
      <c r="F14" s="57">
        <f>$F$8*'General Inputs'!$C$8*(1+'General Inputs'!$C$4)^(B14-$F$9)</f>
        <v>0</v>
      </c>
      <c r="H14" s="54"/>
    </row>
    <row r="15" spans="1:9" x14ac:dyDescent="0.2">
      <c r="B15" s="31">
        <f>B14+1</f>
        <v>2026</v>
      </c>
      <c r="C15" s="52">
        <f>$F$3*(1+'General Inputs'!$C$4)^($B15-$F$5)</f>
        <v>4.7123886288157309E-3</v>
      </c>
      <c r="D15" s="32">
        <f>$F$4*(1+'General Inputs'!$C$4)^($B15-$F$5)</f>
        <v>1.7357505345189341E-2</v>
      </c>
      <c r="E15" s="56">
        <f>E14*(1+'General Inputs'!$C$5)</f>
        <v>0</v>
      </c>
      <c r="F15" s="57">
        <f>F14*(1+'General Inputs'!$C$5)</f>
        <v>0</v>
      </c>
      <c r="H15" s="54"/>
    </row>
    <row r="16" spans="1:9" x14ac:dyDescent="0.2">
      <c r="B16" s="31">
        <f t="shared" ref="B16:B43" si="0">B15+1</f>
        <v>2027</v>
      </c>
      <c r="C16" s="52">
        <f>$F$3*(1+'General Inputs'!$C$4)^($B16-$F$5)</f>
        <v>4.8066364013920468E-3</v>
      </c>
      <c r="D16" s="32">
        <f>$F$4*(1+'General Inputs'!$C$4)^($B16-$F$5)</f>
        <v>1.7704655452093133E-2</v>
      </c>
      <c r="E16" s="56">
        <f>E15*(1+'General Inputs'!$C$5)</f>
        <v>0</v>
      </c>
      <c r="F16" s="57">
        <f>F15*(1+'General Inputs'!$C$5)</f>
        <v>0</v>
      </c>
      <c r="H16" s="54"/>
    </row>
    <row r="17" spans="2:8" x14ac:dyDescent="0.2">
      <c r="B17" s="31">
        <f t="shared" si="0"/>
        <v>2028</v>
      </c>
      <c r="C17" s="52">
        <f>$F$3*(1+'General Inputs'!$C$4)^($B17-$F$5)</f>
        <v>4.9027691294198875E-3</v>
      </c>
      <c r="D17" s="32">
        <f>$F$4*(1+'General Inputs'!$C$4)^($B17-$F$5)</f>
        <v>1.8058748561134992E-2</v>
      </c>
      <c r="E17" s="56">
        <f>E16*(1+'General Inputs'!$C$5)</f>
        <v>0</v>
      </c>
      <c r="F17" s="57">
        <f>F16*(1+'General Inputs'!$C$5)</f>
        <v>0</v>
      </c>
      <c r="H17" s="54"/>
    </row>
    <row r="18" spans="2:8" x14ac:dyDescent="0.2">
      <c r="B18" s="31">
        <f t="shared" si="0"/>
        <v>2029</v>
      </c>
      <c r="C18" s="52">
        <f>$F$3*(1+'General Inputs'!$C$4)^($B18-$F$5)</f>
        <v>5.0008245120082857E-3</v>
      </c>
      <c r="D18" s="32">
        <f>$F$4*(1+'General Inputs'!$C$4)^($B18-$F$5)</f>
        <v>1.8419923532357694E-2</v>
      </c>
      <c r="E18" s="56">
        <f>E17*(1+'General Inputs'!$C$5)</f>
        <v>0</v>
      </c>
      <c r="F18" s="57">
        <f>F17*(1+'General Inputs'!$C$5)</f>
        <v>0</v>
      </c>
      <c r="H18" s="54"/>
    </row>
    <row r="19" spans="2:8" x14ac:dyDescent="0.2">
      <c r="B19" s="31">
        <f t="shared" si="0"/>
        <v>2030</v>
      </c>
      <c r="C19" s="52">
        <f>$F$3*(1+'General Inputs'!$C$4)^($B19-$F$5)</f>
        <v>5.1008410022484497E-3</v>
      </c>
      <c r="D19" s="32">
        <f>$F$4*(1+'General Inputs'!$C$4)^($B19-$F$5)</f>
        <v>1.8788322003004843E-2</v>
      </c>
      <c r="E19" s="56">
        <f>E18*(1+'General Inputs'!$C$5)</f>
        <v>0</v>
      </c>
      <c r="F19" s="57">
        <f>F18*(1+'General Inputs'!$C$5)</f>
        <v>0</v>
      </c>
      <c r="H19" s="54"/>
    </row>
    <row r="20" spans="2:8" x14ac:dyDescent="0.2">
      <c r="B20" s="31">
        <f t="shared" si="0"/>
        <v>2031</v>
      </c>
      <c r="C20" s="52">
        <f>$F$3*(1+'General Inputs'!$C$4)^($B20-$F$5)</f>
        <v>5.20285782229342E-3</v>
      </c>
      <c r="D20" s="32">
        <f>$F$4*(1+'General Inputs'!$C$4)^($B20-$F$5)</f>
        <v>1.9164088443064945E-2</v>
      </c>
      <c r="E20" s="56">
        <f>E19*(1+'General Inputs'!$C$5)</f>
        <v>0</v>
      </c>
      <c r="F20" s="57">
        <f>F19*(1+'General Inputs'!$C$5)</f>
        <v>0</v>
      </c>
      <c r="H20" s="54"/>
    </row>
    <row r="21" spans="2:8" x14ac:dyDescent="0.2">
      <c r="B21" s="31">
        <f t="shared" si="0"/>
        <v>2032</v>
      </c>
      <c r="C21" s="52">
        <f>$F$3*(1+'General Inputs'!$C$4)^($B21-$F$5)</f>
        <v>5.3069149787392886E-3</v>
      </c>
      <c r="D21" s="32">
        <f>$F$4*(1+'General Inputs'!$C$4)^($B21-$F$5)</f>
        <v>1.9547370211926245E-2</v>
      </c>
      <c r="E21" s="56">
        <f>E20*(1+'General Inputs'!$C$5)</f>
        <v>0</v>
      </c>
      <c r="F21" s="57">
        <f>F20*(1+'General Inputs'!$C$5)</f>
        <v>0</v>
      </c>
      <c r="H21" s="54"/>
    </row>
    <row r="22" spans="2:8" x14ac:dyDescent="0.2">
      <c r="B22" s="31">
        <f t="shared" si="0"/>
        <v>2033</v>
      </c>
      <c r="C22" s="52">
        <f>$F$3*(1+'General Inputs'!$C$4)^($B22-$F$5)</f>
        <v>5.4130532783140733E-3</v>
      </c>
      <c r="D22" s="32">
        <f>$F$4*(1+'General Inputs'!$C$4)^($B22-$F$5)</f>
        <v>1.9938317616164769E-2</v>
      </c>
      <c r="E22" s="56">
        <f>E21*(1+'General Inputs'!$C$5)</f>
        <v>0</v>
      </c>
      <c r="F22" s="57">
        <f>F21*(1+'General Inputs'!$C$5)</f>
        <v>0</v>
      </c>
      <c r="H22" s="54"/>
    </row>
    <row r="23" spans="2:8" x14ac:dyDescent="0.2">
      <c r="B23" s="31">
        <f t="shared" si="0"/>
        <v>2034</v>
      </c>
      <c r="C23" s="52">
        <f>$F$3*(1+'General Inputs'!$C$4)^($B23-$F$5)</f>
        <v>5.521314343880355E-3</v>
      </c>
      <c r="D23" s="32">
        <f>$F$4*(1+'General Inputs'!$C$4)^($B23-$F$5)</f>
        <v>2.0337083968488063E-2</v>
      </c>
      <c r="E23" s="56">
        <f>E22*(1+'General Inputs'!$C$5)</f>
        <v>0</v>
      </c>
      <c r="F23" s="57">
        <f>F22*(1+'General Inputs'!$C$5)</f>
        <v>0</v>
      </c>
      <c r="H23" s="54"/>
    </row>
    <row r="24" spans="2:8" x14ac:dyDescent="0.2">
      <c r="B24" s="31">
        <f t="shared" si="0"/>
        <v>2035</v>
      </c>
      <c r="C24" s="52">
        <f>$F$3*(1+'General Inputs'!$C$4)^($B24-$F$5)</f>
        <v>5.6317406307579629E-3</v>
      </c>
      <c r="D24" s="32">
        <f>$F$4*(1+'General Inputs'!$C$4)^($B24-$F$5)</f>
        <v>2.0743825647857827E-2</v>
      </c>
      <c r="E24" s="56">
        <f>E23*(1+'General Inputs'!$C$5)</f>
        <v>0</v>
      </c>
      <c r="F24" s="57">
        <f>F23*(1+'General Inputs'!$C$5)</f>
        <v>0</v>
      </c>
      <c r="H24" s="54"/>
    </row>
    <row r="25" spans="2:8" x14ac:dyDescent="0.2">
      <c r="B25" s="31">
        <f t="shared" si="0"/>
        <v>2036</v>
      </c>
      <c r="C25" s="52">
        <f>$F$3*(1+'General Inputs'!$C$4)^($B25-$F$5)</f>
        <v>5.7443754433731216E-3</v>
      </c>
      <c r="D25" s="32">
        <f>$F$4*(1+'General Inputs'!$C$4)^($B25-$F$5)</f>
        <v>2.1158702160814981E-2</v>
      </c>
      <c r="E25" s="56">
        <f>E24*(1+'General Inputs'!$C$5)</f>
        <v>0</v>
      </c>
      <c r="F25" s="57">
        <f>F24*(1+'General Inputs'!$C$5)</f>
        <v>0</v>
      </c>
      <c r="H25" s="54"/>
    </row>
    <row r="26" spans="2:8" x14ac:dyDescent="0.2">
      <c r="B26" s="31">
        <f t="shared" si="0"/>
        <v>2037</v>
      </c>
      <c r="C26" s="52">
        <f>$F$3*(1+'General Inputs'!$C$4)^($B26-$F$5)</f>
        <v>5.8592629522405838E-3</v>
      </c>
      <c r="D26" s="32">
        <f>$F$4*(1+'General Inputs'!$C$4)^($B26-$F$5)</f>
        <v>2.1581876204031281E-2</v>
      </c>
      <c r="E26" s="56">
        <f>E25*(1+'General Inputs'!$C$5)</f>
        <v>0</v>
      </c>
      <c r="F26" s="57">
        <f>F25*(1+'General Inputs'!$C$5)</f>
        <v>0</v>
      </c>
      <c r="H26" s="54"/>
    </row>
    <row r="27" spans="2:8" x14ac:dyDescent="0.2">
      <c r="B27" s="31">
        <f t="shared" si="0"/>
        <v>2038</v>
      </c>
      <c r="C27" s="52">
        <f>$F$3*(1+'General Inputs'!$C$4)^($B27-$F$5)</f>
        <v>5.9764482112853951E-3</v>
      </c>
      <c r="D27" s="32">
        <f>$F$4*(1+'General Inputs'!$C$4)^($B27-$F$5)</f>
        <v>2.2013513728111903E-2</v>
      </c>
      <c r="E27" s="56">
        <f>E26*(1+'General Inputs'!$C$5)</f>
        <v>0</v>
      </c>
      <c r="F27" s="57">
        <f>F26*(1+'General Inputs'!$C$5)</f>
        <v>0</v>
      </c>
      <c r="H27" s="54"/>
    </row>
    <row r="28" spans="2:8" x14ac:dyDescent="0.2">
      <c r="B28" s="31">
        <f t="shared" si="0"/>
        <v>2039</v>
      </c>
      <c r="C28" s="52">
        <f>$F$3*(1+'General Inputs'!$C$4)^($B28-$F$5)</f>
        <v>6.0959771755111029E-3</v>
      </c>
      <c r="D28" s="32">
        <f>$F$4*(1+'General Inputs'!$C$4)^($B28-$F$5)</f>
        <v>2.2453784002674143E-2</v>
      </c>
      <c r="E28" s="56">
        <f>E27*(1+'General Inputs'!$C$5)</f>
        <v>0</v>
      </c>
      <c r="F28" s="57">
        <f>F27*(1+'General Inputs'!$C$5)</f>
        <v>0</v>
      </c>
      <c r="H28" s="54"/>
    </row>
    <row r="29" spans="2:8" x14ac:dyDescent="0.2">
      <c r="B29" s="31">
        <f t="shared" si="0"/>
        <v>2040</v>
      </c>
      <c r="C29" s="52">
        <f>$F$3*(1+'General Inputs'!$C$4)^($B29-$F$5)</f>
        <v>6.2178967190213248E-3</v>
      </c>
      <c r="D29" s="32">
        <f>$F$4*(1+'General Inputs'!$C$4)^($B29-$F$5)</f>
        <v>2.2902859682727626E-2</v>
      </c>
      <c r="E29" s="56">
        <f>E28*(1+'General Inputs'!$C$5)</f>
        <v>0</v>
      </c>
      <c r="F29" s="57">
        <f>F28*(1+'General Inputs'!$C$5)</f>
        <v>0</v>
      </c>
      <c r="H29" s="54"/>
    </row>
    <row r="30" spans="2:8" x14ac:dyDescent="0.2">
      <c r="B30" s="31">
        <f t="shared" si="0"/>
        <v>2041</v>
      </c>
      <c r="C30" s="52">
        <f>$F$3*(1+'General Inputs'!$C$4)^($B30-$F$5)</f>
        <v>6.3422546534017523E-3</v>
      </c>
      <c r="D30" s="32">
        <f>$F$4*(1+'General Inputs'!$C$4)^($B30-$F$5)</f>
        <v>2.3360916876382181E-2</v>
      </c>
      <c r="E30" s="56">
        <f>E29*(1+'General Inputs'!$C$5)</f>
        <v>0</v>
      </c>
      <c r="F30" s="57">
        <f>F29*(1+'General Inputs'!$C$5)</f>
        <v>0</v>
      </c>
      <c r="H30" s="54"/>
    </row>
    <row r="31" spans="2:8" x14ac:dyDescent="0.2">
      <c r="B31" s="31">
        <f t="shared" si="0"/>
        <v>2042</v>
      </c>
      <c r="C31" s="52">
        <f>$F$3*(1+'General Inputs'!$C$4)^($B31-$F$5)</f>
        <v>6.469099746469786E-3</v>
      </c>
      <c r="D31" s="32">
        <f>$F$4*(1+'General Inputs'!$C$4)^($B31-$F$5)</f>
        <v>2.3828135213909821E-2</v>
      </c>
      <c r="E31" s="56">
        <f>E30*(1+'General Inputs'!$C$5)</f>
        <v>0</v>
      </c>
      <c r="F31" s="57">
        <f>F30*(1+'General Inputs'!$C$5)</f>
        <v>0</v>
      </c>
      <c r="H31" s="54"/>
    </row>
    <row r="32" spans="2:8" x14ac:dyDescent="0.2">
      <c r="B32" s="31">
        <f t="shared" si="0"/>
        <v>2043</v>
      </c>
      <c r="C32" s="52">
        <f>$F$3*(1+'General Inputs'!$C$4)^($B32-$F$5)</f>
        <v>6.5984817413991832E-3</v>
      </c>
      <c r="D32" s="32">
        <f>$F$4*(1+'General Inputs'!$C$4)^($B32-$F$5)</f>
        <v>2.4304697918188019E-2</v>
      </c>
      <c r="E32" s="56">
        <f>E31*(1+'General Inputs'!$C$5)</f>
        <v>0</v>
      </c>
      <c r="F32" s="57">
        <f>F31*(1+'General Inputs'!$C$5)</f>
        <v>0</v>
      </c>
      <c r="H32" s="54"/>
    </row>
    <row r="33" spans="2:8" x14ac:dyDescent="0.2">
      <c r="B33" s="31">
        <f t="shared" si="0"/>
        <v>2044</v>
      </c>
      <c r="C33" s="52">
        <f>$F$3*(1+'General Inputs'!$C$4)^($B33-$F$5)</f>
        <v>6.7304513762271659E-3</v>
      </c>
      <c r="D33" s="32">
        <f>$F$4*(1+'General Inputs'!$C$4)^($B33-$F$5)</f>
        <v>2.4790791876551779E-2</v>
      </c>
      <c r="E33" s="56">
        <f>E32*(1+'General Inputs'!$C$5)</f>
        <v>0</v>
      </c>
      <c r="F33" s="57">
        <f>F32*(1+'General Inputs'!$C$5)</f>
        <v>0</v>
      </c>
      <c r="H33" s="54"/>
    </row>
    <row r="34" spans="2:8" x14ac:dyDescent="0.2">
      <c r="B34" s="31">
        <f t="shared" si="0"/>
        <v>2045</v>
      </c>
      <c r="C34" s="52">
        <f>$F$3*(1+'General Inputs'!$C$4)^($B34-$F$5)</f>
        <v>6.8650604037517092E-3</v>
      </c>
      <c r="D34" s="32">
        <f>$F$4*(1+'General Inputs'!$C$4)^($B34-$F$5)</f>
        <v>2.5286607714082816E-2</v>
      </c>
      <c r="E34" s="56">
        <f>E33*(1+'General Inputs'!$C$5)</f>
        <v>0</v>
      </c>
      <c r="F34" s="57">
        <f>F33*(1+'General Inputs'!$C$5)</f>
        <v>0</v>
      </c>
      <c r="H34" s="54"/>
    </row>
    <row r="35" spans="2:8" x14ac:dyDescent="0.2">
      <c r="B35" s="31">
        <f t="shared" si="0"/>
        <v>2046</v>
      </c>
      <c r="C35" s="52">
        <f>$F$3*(1+'General Inputs'!$C$4)^($B35-$F$5)</f>
        <v>7.0023616118267424E-3</v>
      </c>
      <c r="D35" s="32">
        <f>$F$4*(1+'General Inputs'!$C$4)^($B35-$F$5)</f>
        <v>2.5792339868364465E-2</v>
      </c>
      <c r="E35" s="56">
        <f>E34*(1+'General Inputs'!$C$5)</f>
        <v>0</v>
      </c>
      <c r="F35" s="57">
        <f>F34*(1+'General Inputs'!$C$5)</f>
        <v>0</v>
      </c>
      <c r="H35" s="54"/>
    </row>
    <row r="36" spans="2:8" x14ac:dyDescent="0.2">
      <c r="B36" s="31">
        <f t="shared" si="0"/>
        <v>2047</v>
      </c>
      <c r="C36" s="52">
        <f>$F$3*(1+'General Inputs'!$C$4)^($B36-$F$5)</f>
        <v>7.1424088440632787E-3</v>
      </c>
      <c r="D36" s="32">
        <f>$F$4*(1+'General Inputs'!$C$4)^($B36-$F$5)</f>
        <v>2.6308186665731759E-2</v>
      </c>
      <c r="E36" s="56">
        <f>E35*(1+'General Inputs'!$C$5)</f>
        <v>0</v>
      </c>
      <c r="F36" s="57">
        <f>F35*(1+'General Inputs'!$C$5)</f>
        <v>0</v>
      </c>
      <c r="H36" s="54"/>
    </row>
    <row r="37" spans="2:8" x14ac:dyDescent="0.2">
      <c r="B37" s="31">
        <f t="shared" si="0"/>
        <v>2048</v>
      </c>
      <c r="C37" s="52">
        <f>$F$3*(1+'General Inputs'!$C$4)^($B37-$F$5)</f>
        <v>7.2852570209445446E-3</v>
      </c>
      <c r="D37" s="32">
        <f>$F$4*(1+'General Inputs'!$C$4)^($B37-$F$5)</f>
        <v>2.6834350399046396E-2</v>
      </c>
      <c r="E37" s="56">
        <f>E36*(1+'General Inputs'!$C$5)</f>
        <v>0</v>
      </c>
      <c r="F37" s="57">
        <f>F36*(1+'General Inputs'!$C$5)</f>
        <v>0</v>
      </c>
      <c r="H37" s="54"/>
    </row>
    <row r="38" spans="2:8" x14ac:dyDescent="0.2">
      <c r="B38" s="31">
        <f t="shared" si="0"/>
        <v>2049</v>
      </c>
      <c r="C38" s="52">
        <f>$F$3*(1+'General Inputs'!$C$4)^($B38-$F$5)</f>
        <v>7.4309621613634349E-3</v>
      </c>
      <c r="D38" s="32">
        <f>$F$4*(1+'General Inputs'!$C$4)^($B38-$F$5)</f>
        <v>2.7371037407027322E-2</v>
      </c>
      <c r="E38" s="56">
        <f>E37*(1+'General Inputs'!$C$5)</f>
        <v>0</v>
      </c>
      <c r="F38" s="57">
        <f>F37*(1+'General Inputs'!$C$5)</f>
        <v>0</v>
      </c>
      <c r="H38" s="54"/>
    </row>
    <row r="39" spans="2:8" x14ac:dyDescent="0.2">
      <c r="B39" s="31">
        <f t="shared" si="0"/>
        <v>2050</v>
      </c>
      <c r="C39" s="52">
        <f>$F$3*(1+'General Inputs'!$C$4)^($B39-$F$5)</f>
        <v>7.5795814045907031E-3</v>
      </c>
      <c r="D39" s="32">
        <f>$F$4*(1+'General Inputs'!$C$4)^($B39-$F$5)</f>
        <v>2.7918458155167868E-2</v>
      </c>
      <c r="E39" s="56">
        <f>E38*(1+'General Inputs'!$C$5)</f>
        <v>0</v>
      </c>
      <c r="F39" s="57">
        <f>F38*(1+'General Inputs'!$C$5)</f>
        <v>0</v>
      </c>
      <c r="H39" s="54"/>
    </row>
    <row r="40" spans="2:8" x14ac:dyDescent="0.2">
      <c r="B40" s="31">
        <f t="shared" si="0"/>
        <v>2051</v>
      </c>
      <c r="C40" s="52">
        <f>$F$3*(1+'General Inputs'!$C$4)^($B40-$F$5)</f>
        <v>7.7311730326825173E-3</v>
      </c>
      <c r="D40" s="32">
        <f>$F$4*(1+'General Inputs'!$C$4)^($B40-$F$5)</f>
        <v>2.8476827318271225E-2</v>
      </c>
      <c r="E40" s="56">
        <f>E39*(1+'General Inputs'!$C$5)</f>
        <v>0</v>
      </c>
      <c r="F40" s="57">
        <f>F39*(1+'General Inputs'!$C$5)</f>
        <v>0</v>
      </c>
      <c r="H40" s="54"/>
    </row>
    <row r="41" spans="2:8" x14ac:dyDescent="0.2">
      <c r="B41" s="31">
        <f t="shared" si="0"/>
        <v>2052</v>
      </c>
      <c r="C41" s="52">
        <f>$F$3*(1+'General Inputs'!$C$4)^($B41-$F$5)</f>
        <v>7.8857964933361675E-3</v>
      </c>
      <c r="D41" s="32">
        <f>$F$4*(1+'General Inputs'!$C$4)^($B41-$F$5)</f>
        <v>2.9046363864636653E-2</v>
      </c>
      <c r="E41" s="56">
        <f>E40*(1+'General Inputs'!$C$5)</f>
        <v>0</v>
      </c>
      <c r="F41" s="57">
        <f>F40*(1+'General Inputs'!$C$5)</f>
        <v>0</v>
      </c>
      <c r="H41" s="54"/>
    </row>
    <row r="42" spans="2:8" x14ac:dyDescent="0.2">
      <c r="B42" s="31">
        <f t="shared" si="0"/>
        <v>2053</v>
      </c>
      <c r="C42" s="52">
        <f>$F$3*(1+'General Inputs'!$C$4)^($B42-$F$5)</f>
        <v>8.0435124232028921E-3</v>
      </c>
      <c r="D42" s="32">
        <f>$F$4*(1+'General Inputs'!$C$4)^($B42-$F$5)</f>
        <v>2.9627291141929388E-2</v>
      </c>
      <c r="E42" s="56">
        <f>E41*(1+'General Inputs'!$C$5)</f>
        <v>0</v>
      </c>
      <c r="F42" s="57">
        <f>F41*(1+'General Inputs'!$C$5)</f>
        <v>0</v>
      </c>
      <c r="H42" s="54"/>
    </row>
    <row r="43" spans="2:8" x14ac:dyDescent="0.2">
      <c r="B43" s="33">
        <f t="shared" si="0"/>
        <v>2054</v>
      </c>
      <c r="C43" s="53">
        <f>$F$3*(1+'General Inputs'!$C$4)^($B43-$F$5)</f>
        <v>8.2043826716669474E-3</v>
      </c>
      <c r="D43" s="35">
        <f>$F$4*(1+'General Inputs'!$C$4)^($B43-$F$5)</f>
        <v>3.0219836964767963E-2</v>
      </c>
      <c r="E43" s="58">
        <f>E42*(1+'General Inputs'!$C$5)</f>
        <v>0</v>
      </c>
      <c r="F43" s="59">
        <f>F42*(1+'General Inputs'!$C$5)</f>
        <v>0</v>
      </c>
      <c r="H43" s="54"/>
    </row>
    <row r="45" spans="2:8" ht="14.25" x14ac:dyDescent="0.2">
      <c r="B45" s="1" t="s">
        <v>86</v>
      </c>
    </row>
  </sheetData>
  <mergeCells count="3">
    <mergeCell ref="B11:F11"/>
    <mergeCell ref="C12:D12"/>
    <mergeCell ref="E12:F12"/>
  </mergeCells>
  <pageMargins left="0.7" right="0.7" top="0.75" bottom="0.75" header="0.3" footer="0.3"/>
  <pageSetup scale="5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B1E29-F360-4A32-A53C-86D036888930}">
  <sheetPr>
    <pageSetUpPr fitToPage="1"/>
  </sheetPr>
  <dimension ref="A1:H43"/>
  <sheetViews>
    <sheetView zoomScaleNormal="100" workbookViewId="0">
      <selection activeCell="B45" sqref="B45"/>
    </sheetView>
  </sheetViews>
  <sheetFormatPr defaultColWidth="9.140625" defaultRowHeight="12.75" x14ac:dyDescent="0.2"/>
  <cols>
    <col min="1" max="1" width="7.140625" style="7" customWidth="1"/>
    <col min="2" max="6" width="17.140625" style="7" customWidth="1"/>
    <col min="7" max="7" width="7.140625" style="7" customWidth="1"/>
    <col min="8" max="8" width="96.140625" style="7" bestFit="1" customWidth="1"/>
    <col min="9" max="9" width="19.85546875" style="7" customWidth="1"/>
    <col min="10" max="10" width="9.140625" style="7"/>
    <col min="11" max="15" width="18.85546875" style="7" customWidth="1"/>
    <col min="16" max="16" width="9.140625" style="7"/>
    <col min="17" max="17" width="18.85546875" style="7" customWidth="1"/>
    <col min="18" max="16384" width="9.140625" style="7"/>
  </cols>
  <sheetData>
    <row r="1" spans="2:8" x14ac:dyDescent="0.2">
      <c r="B1" s="71" t="s">
        <v>0</v>
      </c>
      <c r="E1" s="71"/>
    </row>
    <row r="2" spans="2:8" x14ac:dyDescent="0.2">
      <c r="B2" s="332"/>
      <c r="C2" s="327"/>
      <c r="D2" s="327"/>
      <c r="E2" s="327"/>
      <c r="F2" s="328"/>
    </row>
    <row r="3" spans="2:8" x14ac:dyDescent="0.2">
      <c r="B3" s="129" t="s">
        <v>87</v>
      </c>
      <c r="F3" s="30">
        <v>1.06E-2</v>
      </c>
      <c r="H3" s="7" t="s">
        <v>88</v>
      </c>
    </row>
    <row r="4" spans="2:8" x14ac:dyDescent="0.2">
      <c r="B4" s="129" t="s">
        <v>89</v>
      </c>
      <c r="F4" s="30">
        <v>4.5240000000000002E-2</v>
      </c>
      <c r="H4" s="7" t="s">
        <v>88</v>
      </c>
    </row>
    <row r="5" spans="2:8" x14ac:dyDescent="0.2">
      <c r="B5" s="129" t="s">
        <v>79</v>
      </c>
      <c r="F5" s="29">
        <v>2018</v>
      </c>
    </row>
    <row r="6" spans="2:8" x14ac:dyDescent="0.2">
      <c r="B6" s="129"/>
      <c r="F6" s="30"/>
    </row>
    <row r="7" spans="2:8" x14ac:dyDescent="0.2">
      <c r="B7" s="129" t="s">
        <v>80</v>
      </c>
      <c r="F7" s="130">
        <v>0</v>
      </c>
    </row>
    <row r="8" spans="2:8" ht="12.75" customHeight="1" x14ac:dyDescent="0.2">
      <c r="B8" s="129" t="s">
        <v>81</v>
      </c>
      <c r="F8" s="281">
        <f>1.0628/100*(3/10)*(1/'General Inputs'!C10)</f>
        <v>8.156561780506523E-2</v>
      </c>
      <c r="H8" s="404" t="s">
        <v>90</v>
      </c>
    </row>
    <row r="9" spans="2:8" x14ac:dyDescent="0.2">
      <c r="B9" s="129" t="s">
        <v>79</v>
      </c>
      <c r="F9" s="131">
        <v>2026</v>
      </c>
      <c r="H9" s="404"/>
    </row>
    <row r="10" spans="2:8" x14ac:dyDescent="0.2">
      <c r="B10" s="129"/>
      <c r="F10" s="130"/>
      <c r="H10" s="404"/>
    </row>
    <row r="11" spans="2:8" x14ac:dyDescent="0.2">
      <c r="B11" s="397" t="s">
        <v>53</v>
      </c>
      <c r="C11" s="398"/>
      <c r="D11" s="398"/>
      <c r="E11" s="398"/>
      <c r="F11" s="399"/>
      <c r="H11" s="404"/>
    </row>
    <row r="12" spans="2:8" x14ac:dyDescent="0.2">
      <c r="B12" s="121"/>
      <c r="C12" s="400" t="s">
        <v>82</v>
      </c>
      <c r="D12" s="401"/>
      <c r="E12" s="402" t="s">
        <v>83</v>
      </c>
      <c r="F12" s="403"/>
      <c r="H12" s="404"/>
    </row>
    <row r="13" spans="2:8" ht="38.25" x14ac:dyDescent="0.2">
      <c r="B13" s="50" t="s">
        <v>17</v>
      </c>
      <c r="C13" s="333" t="s">
        <v>84</v>
      </c>
      <c r="D13" s="333" t="s">
        <v>85</v>
      </c>
      <c r="E13" s="300" t="s">
        <v>84</v>
      </c>
      <c r="F13" s="301" t="s">
        <v>85</v>
      </c>
      <c r="H13" s="404"/>
    </row>
    <row r="14" spans="2:8" x14ac:dyDescent="0.2">
      <c r="B14" s="42">
        <v>2025</v>
      </c>
      <c r="C14" s="334">
        <f>$F$3*(1+'General Inputs'!C4)^($B14-$F$5)</f>
        <v>1.2176068077082366E-2</v>
      </c>
      <c r="D14" s="107">
        <f>$F$4*(1+'General Inputs'!C4)^($B14-$F$5)</f>
        <v>5.1966539604453424E-2</v>
      </c>
      <c r="E14" s="302">
        <f>$F$7*'General Inputs'!$C$10*(1+'General Inputs'!$C$5)^(B14-$F$9)</f>
        <v>0</v>
      </c>
      <c r="F14" s="335">
        <f>$F$8*'General Inputs'!$C$10*(1+'General Inputs'!C4)^(B14-$F$9)</f>
        <v>3.1258823529411758E-3</v>
      </c>
    </row>
    <row r="15" spans="2:8" x14ac:dyDescent="0.2">
      <c r="B15" s="42">
        <v>2026</v>
      </c>
      <c r="C15" s="47">
        <f>C14*(1+'General Inputs'!$C$5)</f>
        <v>1.2419589438624014E-2</v>
      </c>
      <c r="D15" s="107">
        <f>D14*(1+'General Inputs'!$C$5)</f>
        <v>5.300587039654249E-2</v>
      </c>
      <c r="E15" s="47">
        <f>E14*(1+'General Inputs'!$C$5)</f>
        <v>0</v>
      </c>
      <c r="F15" s="132">
        <f>F14*(1+'General Inputs'!$C$5)</f>
        <v>3.1883999999999992E-3</v>
      </c>
    </row>
    <row r="16" spans="2:8" x14ac:dyDescent="0.2">
      <c r="B16" s="42">
        <v>2027</v>
      </c>
      <c r="C16" s="47">
        <f>C15*(1+'General Inputs'!$C$5)</f>
        <v>1.2667981227396494E-2</v>
      </c>
      <c r="D16" s="107">
        <f>D15*(1+'General Inputs'!$C$5)</f>
        <v>5.4065987804473338E-2</v>
      </c>
      <c r="E16" s="47">
        <f>E15*(1+'General Inputs'!$C$5)</f>
        <v>0</v>
      </c>
      <c r="F16" s="132">
        <f>F15*(1+'General Inputs'!$C$5)</f>
        <v>3.2521679999999993E-3</v>
      </c>
    </row>
    <row r="17" spans="1:8" x14ac:dyDescent="0.2">
      <c r="B17" s="42">
        <v>2028</v>
      </c>
      <c r="C17" s="47">
        <f>C16*(1+'General Inputs'!$C$5)</f>
        <v>1.2921340851944425E-2</v>
      </c>
      <c r="D17" s="107">
        <f>D16*(1+'General Inputs'!$C$5)</f>
        <v>5.5147307560562804E-2</v>
      </c>
      <c r="E17" s="47">
        <f>E16*(1+'General Inputs'!$C$5)</f>
        <v>0</v>
      </c>
      <c r="F17" s="132">
        <f>F16*(1+'General Inputs'!$C$5)</f>
        <v>3.3172113599999995E-3</v>
      </c>
    </row>
    <row r="18" spans="1:8" s="133" customFormat="1" x14ac:dyDescent="0.2">
      <c r="A18" s="7"/>
      <c r="B18" s="42">
        <v>2029</v>
      </c>
      <c r="C18" s="47">
        <f>C17*(1+'General Inputs'!$C$5)</f>
        <v>1.3179767668983313E-2</v>
      </c>
      <c r="D18" s="107">
        <f>D17*(1+'General Inputs'!$C$5)</f>
        <v>5.6250253711774063E-2</v>
      </c>
      <c r="E18" s="47">
        <f>E17*(1+'General Inputs'!$C$5)</f>
        <v>0</v>
      </c>
      <c r="F18" s="132">
        <f>F17*(1+'General Inputs'!$C$5)</f>
        <v>3.3835555871999995E-3</v>
      </c>
      <c r="G18" s="7"/>
    </row>
    <row r="19" spans="1:8" x14ac:dyDescent="0.2">
      <c r="B19" s="42">
        <v>2030</v>
      </c>
      <c r="C19" s="47">
        <f>C18*(1+'General Inputs'!$C$5)</f>
        <v>1.3443363022362979E-2</v>
      </c>
      <c r="D19" s="107">
        <f>D18*(1+'General Inputs'!$C$5)</f>
        <v>5.7375258786009548E-2</v>
      </c>
      <c r="E19" s="47">
        <f>E18*(1+'General Inputs'!$C$5)</f>
        <v>0</v>
      </c>
      <c r="F19" s="132">
        <f>F18*(1+'General Inputs'!$C$5)</f>
        <v>3.4512266989439994E-3</v>
      </c>
      <c r="H19" s="134"/>
    </row>
    <row r="20" spans="1:8" x14ac:dyDescent="0.2">
      <c r="B20" s="42">
        <v>2031</v>
      </c>
      <c r="C20" s="47">
        <f>C19*(1+'General Inputs'!$C$5)</f>
        <v>1.3712230282810239E-2</v>
      </c>
      <c r="D20" s="107">
        <f>D19*(1+'General Inputs'!$C$5)</f>
        <v>5.8522763961729743E-2</v>
      </c>
      <c r="E20" s="47">
        <f>E19*(1+'General Inputs'!$C$5)</f>
        <v>0</v>
      </c>
      <c r="F20" s="132">
        <f>F19*(1+'General Inputs'!$C$5)</f>
        <v>3.5202512329228796E-3</v>
      </c>
      <c r="H20" s="134"/>
    </row>
    <row r="21" spans="1:8" x14ac:dyDescent="0.2">
      <c r="B21" s="42">
        <v>2032</v>
      </c>
      <c r="C21" s="47">
        <f>C20*(1+'General Inputs'!$C$5)</f>
        <v>1.3986474888466445E-2</v>
      </c>
      <c r="D21" s="107">
        <f>D20*(1+'General Inputs'!$C$5)</f>
        <v>5.9693219240964338E-2</v>
      </c>
      <c r="E21" s="47">
        <f>E20*(1+'General Inputs'!$C$5)</f>
        <v>0</v>
      </c>
      <c r="F21" s="132">
        <f>F20*(1+'General Inputs'!$C$5)</f>
        <v>3.5906562575813371E-3</v>
      </c>
      <c r="H21" s="134"/>
    </row>
    <row r="22" spans="1:8" x14ac:dyDescent="0.2">
      <c r="B22" s="42">
        <v>2033</v>
      </c>
      <c r="C22" s="47">
        <f>C21*(1+'General Inputs'!$C$5)</f>
        <v>1.4266204386235774E-2</v>
      </c>
      <c r="D22" s="107">
        <f>D21*(1+'General Inputs'!$C$5)</f>
        <v>6.0887083625783628E-2</v>
      </c>
      <c r="E22" s="47">
        <f>E21*(1+'General Inputs'!$C$5)</f>
        <v>0</v>
      </c>
      <c r="F22" s="132">
        <f>F21*(1+'General Inputs'!$C$5)</f>
        <v>3.662469382732964E-3</v>
      </c>
      <c r="H22" s="134"/>
    </row>
    <row r="23" spans="1:8" x14ac:dyDescent="0.2">
      <c r="B23" s="42">
        <v>2034</v>
      </c>
      <c r="C23" s="47">
        <f>C22*(1+'General Inputs'!$C$5)</f>
        <v>1.455152847396049E-2</v>
      </c>
      <c r="D23" s="107">
        <f>D22*(1+'General Inputs'!$C$5)</f>
        <v>6.2104825298299304E-2</v>
      </c>
      <c r="E23" s="47">
        <f>E22*(1+'General Inputs'!$C$5)</f>
        <v>0</v>
      </c>
      <c r="F23" s="132">
        <f>F22*(1+'General Inputs'!$C$5)</f>
        <v>3.7357187703876233E-3</v>
      </c>
      <c r="H23" s="134"/>
    </row>
    <row r="24" spans="1:8" x14ac:dyDescent="0.2">
      <c r="B24" s="42">
        <v>2035</v>
      </c>
      <c r="C24" s="47">
        <f>C23*(1+'General Inputs'!$C$5)</f>
        <v>1.48425590434397E-2</v>
      </c>
      <c r="D24" s="107">
        <f>D23*(1+'General Inputs'!$C$5)</f>
        <v>6.3346921804265294E-2</v>
      </c>
      <c r="E24" s="47">
        <f>E23*(1+'General Inputs'!$C$5)</f>
        <v>0</v>
      </c>
      <c r="F24" s="132">
        <f>F23*(1+'General Inputs'!$C$5)</f>
        <v>3.810433145795376E-3</v>
      </c>
      <c r="H24" s="134"/>
    </row>
    <row r="25" spans="1:8" x14ac:dyDescent="0.2">
      <c r="B25" s="42">
        <v>2036</v>
      </c>
      <c r="C25" s="47">
        <f>C24*(1+'General Inputs'!$C$5)</f>
        <v>1.5139410224308494E-2</v>
      </c>
      <c r="D25" s="107">
        <f>D24*(1+'General Inputs'!$C$5)</f>
        <v>6.4613860240350596E-2</v>
      </c>
      <c r="E25" s="47">
        <f>E24*(1+'General Inputs'!$C$5)</f>
        <v>0</v>
      </c>
      <c r="F25" s="132">
        <f>F24*(1+'General Inputs'!$C$5)</f>
        <v>3.8866418087112834E-3</v>
      </c>
      <c r="H25" s="134"/>
    </row>
    <row r="26" spans="1:8" x14ac:dyDescent="0.2">
      <c r="B26" s="42">
        <v>2037</v>
      </c>
      <c r="C26" s="47">
        <f>C25*(1+'General Inputs'!$C$5)</f>
        <v>1.5442198428794664E-2</v>
      </c>
      <c r="D26" s="107">
        <f>D25*(1+'General Inputs'!$C$5)</f>
        <v>6.5906137445157609E-2</v>
      </c>
      <c r="E26" s="47">
        <f>E25*(1+'General Inputs'!$C$5)</f>
        <v>0</v>
      </c>
      <c r="F26" s="132">
        <f>F25*(1+'General Inputs'!$C$5)</f>
        <v>3.9643746448855093E-3</v>
      </c>
      <c r="H26" s="134"/>
    </row>
    <row r="27" spans="1:8" x14ac:dyDescent="0.2">
      <c r="B27" s="42">
        <v>2038</v>
      </c>
      <c r="C27" s="47">
        <f>C26*(1+'General Inputs'!$C$5)</f>
        <v>1.5751042397370556E-2</v>
      </c>
      <c r="D27" s="107">
        <f>D26*(1+'General Inputs'!$C$5)</f>
        <v>6.7224260194060761E-2</v>
      </c>
      <c r="E27" s="47">
        <f>E26*(1+'General Inputs'!$C$5)</f>
        <v>0</v>
      </c>
      <c r="F27" s="132">
        <f>F26*(1+'General Inputs'!$C$5)</f>
        <v>4.0436621377832197E-3</v>
      </c>
      <c r="H27" s="134"/>
    </row>
    <row r="28" spans="1:8" x14ac:dyDescent="0.2">
      <c r="B28" s="42">
        <v>2039</v>
      </c>
      <c r="C28" s="47">
        <f>C27*(1+'General Inputs'!$C$5)</f>
        <v>1.6066063245317969E-2</v>
      </c>
      <c r="D28" s="107">
        <f>D27*(1+'General Inputs'!$C$5)</f>
        <v>6.8568745397941971E-2</v>
      </c>
      <c r="E28" s="47">
        <f>E27*(1+'General Inputs'!$C$5)</f>
        <v>0</v>
      </c>
      <c r="F28" s="132">
        <f>F27*(1+'General Inputs'!$C$5)</f>
        <v>4.1245353805388837E-3</v>
      </c>
      <c r="H28" s="134"/>
    </row>
    <row r="29" spans="1:8" x14ac:dyDescent="0.2">
      <c r="B29" s="42">
        <v>2040</v>
      </c>
      <c r="C29" s="47">
        <f>C28*(1+'General Inputs'!$C$5)</f>
        <v>1.6387384510224329E-2</v>
      </c>
      <c r="D29" s="107">
        <f>D28*(1+'General Inputs'!$C$5)</f>
        <v>6.9940120305900813E-2</v>
      </c>
      <c r="E29" s="47">
        <f>E28*(1+'General Inputs'!$C$5)</f>
        <v>0</v>
      </c>
      <c r="F29" s="132">
        <f>F28*(1+'General Inputs'!$C$5)</f>
        <v>4.2070260881496612E-3</v>
      </c>
      <c r="H29" s="134"/>
    </row>
    <row r="30" spans="1:8" x14ac:dyDescent="0.2">
      <c r="B30" s="42">
        <v>2041</v>
      </c>
      <c r="C30" s="47">
        <f>C29*(1+'General Inputs'!$C$5)</f>
        <v>1.6715132200428817E-2</v>
      </c>
      <c r="D30" s="107">
        <f>D29*(1+'General Inputs'!$C$5)</f>
        <v>7.1338922712018832E-2</v>
      </c>
      <c r="E30" s="47">
        <f>E29*(1+'General Inputs'!$C$5)</f>
        <v>0</v>
      </c>
      <c r="F30" s="132">
        <f>F29*(1+'General Inputs'!$C$5)</f>
        <v>4.2911666099126541E-3</v>
      </c>
      <c r="H30" s="134"/>
    </row>
    <row r="31" spans="1:8" x14ac:dyDescent="0.2">
      <c r="B31" s="42">
        <v>2042</v>
      </c>
      <c r="C31" s="47">
        <f>C30*(1+'General Inputs'!$C$5)</f>
        <v>1.7049434844437394E-2</v>
      </c>
      <c r="D31" s="107">
        <f>D30*(1+'General Inputs'!$C$5)</f>
        <v>7.2765701166259203E-2</v>
      </c>
      <c r="E31" s="47">
        <f>E30*(1+'General Inputs'!$C$5)</f>
        <v>0</v>
      </c>
      <c r="F31" s="132">
        <f>F30*(1+'General Inputs'!$C$5)</f>
        <v>4.376989942110907E-3</v>
      </c>
      <c r="H31" s="134"/>
    </row>
    <row r="32" spans="1:8" x14ac:dyDescent="0.2">
      <c r="B32" s="42">
        <v>2043</v>
      </c>
      <c r="C32" s="47">
        <f>C31*(1+'General Inputs'!$C$5)</f>
        <v>1.7390423541326142E-2</v>
      </c>
      <c r="D32" s="107">
        <f>D31*(1+'General Inputs'!$C$5)</f>
        <v>7.4221015189584391E-2</v>
      </c>
      <c r="E32" s="47">
        <f>E31*(1+'General Inputs'!$C$5)</f>
        <v>0</v>
      </c>
      <c r="F32" s="132">
        <f>F31*(1+'General Inputs'!$C$5)</f>
        <v>4.4645297409531253E-3</v>
      </c>
      <c r="H32" s="134"/>
    </row>
    <row r="33" spans="2:8" x14ac:dyDescent="0.2">
      <c r="B33" s="42">
        <v>2044</v>
      </c>
      <c r="C33" s="47">
        <f>C32*(1+'General Inputs'!$C$5)</f>
        <v>1.7738232012152664E-2</v>
      </c>
      <c r="D33" s="107">
        <f>D32*(1+'General Inputs'!$C$5)</f>
        <v>7.5705435493376078E-2</v>
      </c>
      <c r="E33" s="47">
        <f>E32*(1+'General Inputs'!$C$5)</f>
        <v>0</v>
      </c>
      <c r="F33" s="132">
        <f>F32*(1+'General Inputs'!$C$5)</f>
        <v>4.5538203357721879E-3</v>
      </c>
      <c r="H33" s="134"/>
    </row>
    <row r="34" spans="2:8" x14ac:dyDescent="0.2">
      <c r="B34" s="42">
        <v>2045</v>
      </c>
      <c r="C34" s="47">
        <f>C33*(1+'General Inputs'!$C$5)</f>
        <v>1.8092996652395717E-2</v>
      </c>
      <c r="D34" s="107">
        <f>D33*(1+'General Inputs'!$C$5)</f>
        <v>7.7219544203243604E-2</v>
      </c>
      <c r="E34" s="47">
        <f>E33*(1+'General Inputs'!$C$5)</f>
        <v>0</v>
      </c>
      <c r="F34" s="132">
        <f>F33*(1+'General Inputs'!$C$5)</f>
        <v>4.6448967424876321E-3</v>
      </c>
      <c r="H34" s="134"/>
    </row>
    <row r="35" spans="2:8" x14ac:dyDescent="0.2">
      <c r="B35" s="42">
        <v>2046</v>
      </c>
      <c r="C35" s="47">
        <f>C34*(1+'General Inputs'!$C$5)</f>
        <v>1.8454856585443633E-2</v>
      </c>
      <c r="D35" s="107">
        <f>D34*(1+'General Inputs'!$C$5)</f>
        <v>7.8763935087308473E-2</v>
      </c>
      <c r="E35" s="47">
        <f>E34*(1+'General Inputs'!$C$5)</f>
        <v>0</v>
      </c>
      <c r="F35" s="132">
        <f>F34*(1+'General Inputs'!$C$5)</f>
        <v>4.737794677337385E-3</v>
      </c>
      <c r="H35" s="134"/>
    </row>
    <row r="36" spans="2:8" x14ac:dyDescent="0.2">
      <c r="B36" s="42">
        <v>2047</v>
      </c>
      <c r="C36" s="47">
        <f>C35*(1+'General Inputs'!$C$5)</f>
        <v>1.8823953717152505E-2</v>
      </c>
      <c r="D36" s="107">
        <f>D35*(1+'General Inputs'!$C$5)</f>
        <v>8.0339213789054648E-2</v>
      </c>
      <c r="E36" s="47">
        <f>E35*(1+'General Inputs'!$C$5)</f>
        <v>0</v>
      </c>
      <c r="F36" s="132">
        <f>F35*(1+'General Inputs'!$C$5)</f>
        <v>4.8325505708841331E-3</v>
      </c>
      <c r="H36" s="134"/>
    </row>
    <row r="37" spans="2:8" x14ac:dyDescent="0.2">
      <c r="B37" s="42">
        <v>2048</v>
      </c>
      <c r="C37" s="47">
        <f>C36*(1+'General Inputs'!$C$5)</f>
        <v>1.9200432791495557E-2</v>
      </c>
      <c r="D37" s="107">
        <f>D36*(1+'General Inputs'!$C$5)</f>
        <v>8.194599806483574E-2</v>
      </c>
      <c r="E37" s="47">
        <f>E36*(1+'General Inputs'!$C$5)</f>
        <v>0</v>
      </c>
      <c r="F37" s="132">
        <f>F36*(1+'General Inputs'!$C$5)</f>
        <v>4.9292015823018155E-3</v>
      </c>
      <c r="H37" s="134"/>
    </row>
    <row r="38" spans="2:8" x14ac:dyDescent="0.2">
      <c r="B38" s="42">
        <v>2049</v>
      </c>
      <c r="C38" s="47">
        <f>C37*(1+'General Inputs'!$C$5)</f>
        <v>1.9584441447325469E-2</v>
      </c>
      <c r="D38" s="107">
        <f>D37*(1+'General Inputs'!$C$5)</f>
        <v>8.3584918026132451E-2</v>
      </c>
      <c r="E38" s="47">
        <f>E37*(1+'General Inputs'!$C$5)</f>
        <v>0</v>
      </c>
      <c r="F38" s="132">
        <f>F37*(1+'General Inputs'!$C$5)</f>
        <v>5.0277856139478517E-3</v>
      </c>
      <c r="H38" s="134"/>
    </row>
    <row r="39" spans="2:8" x14ac:dyDescent="0.2">
      <c r="B39" s="42">
        <v>2050</v>
      </c>
      <c r="C39" s="47">
        <f>C38*(1+'General Inputs'!$C$5)</f>
        <v>1.9976130276271979E-2</v>
      </c>
      <c r="D39" s="107">
        <f>D38*(1+'General Inputs'!$C$5)</f>
        <v>8.5256616386655104E-2</v>
      </c>
      <c r="E39" s="47">
        <f>E38*(1+'General Inputs'!$C$5)</f>
        <v>0</v>
      </c>
      <c r="F39" s="132">
        <f>F38*(1+'General Inputs'!$C$5)</f>
        <v>5.1283413262268084E-3</v>
      </c>
      <c r="H39" s="134"/>
    </row>
    <row r="40" spans="2:8" x14ac:dyDescent="0.2">
      <c r="B40" s="42">
        <v>2051</v>
      </c>
      <c r="C40" s="47">
        <f>C39*(1+'General Inputs'!$C$5)</f>
        <v>2.0375652881797421E-2</v>
      </c>
      <c r="D40" s="107">
        <f>D39*(1+'General Inputs'!$C$5)</f>
        <v>8.6961748714388207E-2</v>
      </c>
      <c r="E40" s="47">
        <f>E39*(1+'General Inputs'!$C$5)</f>
        <v>0</v>
      </c>
      <c r="F40" s="132">
        <f>F39*(1+'General Inputs'!$C$5)</f>
        <v>5.2309081527513448E-3</v>
      </c>
      <c r="H40" s="134"/>
    </row>
    <row r="41" spans="2:8" x14ac:dyDescent="0.2">
      <c r="B41" s="42">
        <v>2052</v>
      </c>
      <c r="C41" s="47">
        <f>C40*(1+'General Inputs'!$C$5)</f>
        <v>2.0783165939433371E-2</v>
      </c>
      <c r="D41" s="107">
        <f>D40*(1+'General Inputs'!$C$5)</f>
        <v>8.8700983688675974E-2</v>
      </c>
      <c r="E41" s="47">
        <f>E40*(1+'General Inputs'!$C$5)</f>
        <v>0</v>
      </c>
      <c r="F41" s="132">
        <f>F40*(1+'General Inputs'!$C$5)</f>
        <v>5.3355263158063717E-3</v>
      </c>
      <c r="H41" s="134"/>
    </row>
    <row r="42" spans="2:8" x14ac:dyDescent="0.2">
      <c r="B42" s="42">
        <v>2053</v>
      </c>
      <c r="C42" s="47">
        <f>C41*(1+'General Inputs'!$C$5)</f>
        <v>2.119882925822204E-2</v>
      </c>
      <c r="D42" s="107">
        <f>D41*(1+'General Inputs'!$C$5)</f>
        <v>9.0475003362449499E-2</v>
      </c>
      <c r="E42" s="47">
        <f>E41*(1+'General Inputs'!$C$5)</f>
        <v>0</v>
      </c>
      <c r="F42" s="132">
        <f>F41*(1+'General Inputs'!$C$5)</f>
        <v>5.4422368421224989E-3</v>
      </c>
      <c r="H42" s="134"/>
    </row>
    <row r="43" spans="2:8" x14ac:dyDescent="0.2">
      <c r="B43" s="43">
        <v>2054</v>
      </c>
      <c r="C43" s="48">
        <f>C42*(1+'General Inputs'!$C$5)</f>
        <v>2.1622805843386481E-2</v>
      </c>
      <c r="D43" s="108">
        <f>D42*(1+'General Inputs'!$C$5)</f>
        <v>9.2284503429698489E-2</v>
      </c>
      <c r="E43" s="48">
        <f>E42*(1+'General Inputs'!$C$5)</f>
        <v>0</v>
      </c>
      <c r="F43" s="135">
        <f>F42*(1+'General Inputs'!$C$5)</f>
        <v>5.5510815789649491E-3</v>
      </c>
      <c r="H43" s="134"/>
    </row>
  </sheetData>
  <mergeCells count="4">
    <mergeCell ref="B11:F11"/>
    <mergeCell ref="C12:D12"/>
    <mergeCell ref="E12:F12"/>
    <mergeCell ref="H8:H13"/>
  </mergeCells>
  <pageMargins left="0.7" right="0.7" top="0.75" bottom="0.75" header="0.3" footer="0.3"/>
  <pageSetup scale="6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81276DF02A4AB4F850C8FDE71AFD584" ma:contentTypeVersion="18" ma:contentTypeDescription="Create a new document." ma:contentTypeScope="" ma:versionID="12d306845f466061f99d5013e53a8ad9">
  <xsd:schema xmlns:xsd="http://www.w3.org/2001/XMLSchema" xmlns:xs="http://www.w3.org/2001/XMLSchema" xmlns:p="http://schemas.microsoft.com/office/2006/metadata/properties" xmlns:ns2="d8658c64-b61e-47ac-bf9f-77b63b2ba9de" xmlns:ns3="bc9be6ef-036f-4d38-ab45-2a4da0c93cb0" targetNamespace="http://schemas.microsoft.com/office/2006/metadata/properties" ma:root="true" ma:fieldsID="afb70862db0e5d184fda4a570b9ef587" ns2:_="" ns3:_="">
    <xsd:import namespace="d8658c64-b61e-47ac-bf9f-77b63b2ba9de"/>
    <xsd:import namespace="bc9be6ef-036f-4d38-ab45-2a4da0c93cb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Issue" minOccurs="0"/>
                <xsd:element ref="ns2:Topic" minOccurs="0"/>
                <xsd:element ref="ns2:Intervenor"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Attach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658c64-b61e-47ac-bf9f-77b63b2ba9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Issue" ma:index="14" nillable="true" ma:displayName="Exhibit" ma:format="Dropdown" ma:internalName="Issue">
      <xsd:simpleType>
        <xsd:restriction base="dms:Text">
          <xsd:maxLength value="255"/>
        </xsd:restriction>
      </xsd:simpleType>
    </xsd:element>
    <xsd:element name="Topic" ma:index="15" nillable="true" ma:displayName="Topic" ma:format="Dropdown" ma:internalName="Topic">
      <xsd:simpleType>
        <xsd:restriction base="dms:Text">
          <xsd:maxLength value="255"/>
        </xsd:restriction>
      </xsd:simpleType>
    </xsd:element>
    <xsd:element name="Intervenor" ma:index="16" nillable="true" ma:displayName="Intervenor" ma:format="Dropdown" ma:internalName="Intervenor">
      <xsd:simpleType>
        <xsd:restriction base="dms:Text">
          <xsd:maxLength value="255"/>
        </xsd:restrictio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f1b9f00-8d2c-4c36-af1d-c0006bf6acbf" ma:termSetId="09814cd3-568e-fe90-9814-8d621ff8fb84" ma:anchorId="fba54fb3-c3e1-fe81-a776-ca4b69148c4d" ma:open="true" ma:isKeyword="false">
      <xsd:complexType>
        <xsd:sequence>
          <xsd:element ref="pc:Terms" minOccurs="0" maxOccurs="1"/>
        </xsd:sequence>
      </xsd:complexType>
    </xsd:element>
    <xsd:element name="MediaServiceOCR" ma:index="24" nillable="true" ma:displayName="Extracted Text" ma:internalName="MediaServiceOCR" ma:readOnly="true">
      <xsd:simpleType>
        <xsd:restriction base="dms:Note">
          <xsd:maxLength value="255"/>
        </xsd:restriction>
      </xsd:simpleType>
    </xsd:element>
    <xsd:element name="Attachment" ma:index="25" nillable="true" ma:displayName="Attachment" ma:format="Dropdown" ma:internalName="Attachmen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c9be6ef-036f-4d38-ab45-2a4da0c93cb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52c96dd-4f5f-40b4-a956-704ef5bb79d9}" ma:internalName="TaxCatchAll" ma:showField="CatchAllData" ma:web="bc9be6ef-036f-4d38-ab45-2a4da0c93c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opic xmlns="d8658c64-b61e-47ac-bf9f-77b63b2ba9de" xsi:nil="true"/>
    <Attachment xmlns="d8658c64-b61e-47ac-bf9f-77b63b2ba9de">ATTACHMENT</Attachment>
    <Intervenor xmlns="d8658c64-b61e-47ac-bf9f-77b63b2ba9de">ED/GEC/PP</Intervenor>
    <Issue xmlns="d8658c64-b61e-47ac-bf9f-77b63b2ba9de">D</Issue>
    <lcf76f155ced4ddcb4097134ff3c332f xmlns="d8658c64-b61e-47ac-bf9f-77b63b2ba9de">
      <Terms xmlns="http://schemas.microsoft.com/office/infopath/2007/PartnerControls"/>
    </lcf76f155ced4ddcb4097134ff3c332f>
    <TaxCatchAll xmlns="bc9be6ef-036f-4d38-ab45-2a4da0c93cb0" xsi:nil="true"/>
  </documentManagement>
</p:properties>
</file>

<file path=customXml/itemProps1.xml><?xml version="1.0" encoding="utf-8"?>
<ds:datastoreItem xmlns:ds="http://schemas.openxmlformats.org/officeDocument/2006/customXml" ds:itemID="{9F79B52F-CE53-445A-9FDA-88BACA914A62}"/>
</file>

<file path=customXml/itemProps2.xml><?xml version="1.0" encoding="utf-8"?>
<ds:datastoreItem xmlns:ds="http://schemas.openxmlformats.org/officeDocument/2006/customXml" ds:itemID="{2A666A3F-7E11-4A3E-A55D-9516B16DDACB}"/>
</file>

<file path=customXml/itemProps3.xml><?xml version="1.0" encoding="utf-8"?>
<ds:datastoreItem xmlns:ds="http://schemas.openxmlformats.org/officeDocument/2006/customXml" ds:itemID="{DFA3C9DE-CC9E-485B-BC88-AF9F1156EB4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3</vt:i4>
      </vt:variant>
    </vt:vector>
  </HeadingPairs>
  <TitlesOfParts>
    <vt:vector size="18" baseType="lpstr">
      <vt:lpstr>2027 EGI Avoided Costs</vt:lpstr>
      <vt:lpstr>General Inputs</vt:lpstr>
      <vt:lpstr>2025 EGD Avoided Costs</vt:lpstr>
      <vt:lpstr>2025 UG Avoided Costs</vt:lpstr>
      <vt:lpstr>Summary of Updates</vt:lpstr>
      <vt:lpstr>EGD SENDOUT Report</vt:lpstr>
      <vt:lpstr>UG SENDOUT Report</vt:lpstr>
      <vt:lpstr>EGD Avoided DS Infrastructure</vt:lpstr>
      <vt:lpstr>UG Avoided DS Infrastructure</vt:lpstr>
      <vt:lpstr>EGD Avoided UFG</vt:lpstr>
      <vt:lpstr>UG Avoided UFG</vt:lpstr>
      <vt:lpstr>Avoided Electricity</vt:lpstr>
      <vt:lpstr>EGD Avoided Water</vt:lpstr>
      <vt:lpstr>UG Avoided Water</vt:lpstr>
      <vt:lpstr>Avoided Carbon</vt:lpstr>
      <vt:lpstr>'Summary of Updates'!Print_Area</vt:lpstr>
      <vt:lpstr>'UG Avoided Water'!Print_Area</vt:lpstr>
      <vt:lpstr>'UG SENDOUT Report'!Print_Area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2026-06-18T22:43:35Z</dcterms:created>
  <dcterms:modified xsi:type="dcterms:W3CDTF">2026-06-18T22:43:48Z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SIP_Label_b1a6f161-e42b-4c47-8f69-f6a81e023e2d_Owner">
    <vt:lpwstr>MSJunaid@Spectraenergy.com</vt:lpwstr>
  </property>
  <property fmtid="{D5CDD505-2E9C-101B-9397-08002B2CF9AE}" pid="4" name="MSIP_Label_b1a6f161-e42b-4c47-8f69-f6a81e023e2d_Name">
    <vt:lpwstr>b1a6f161-e42b-4c47-8f69-f6a81e023e2d</vt:lpwstr>
  </property>
  <property fmtid="{D5CDD505-2E9C-101B-9397-08002B2CF9AE}" pid="5" name="MSIP_Label_b1a6f161-e42b-4c47-8f69-f6a81e023e2d_Tag">
    <vt:lpwstr>10, 3, 0, 1</vt:lpwstr>
  </property>
  <property fmtid="{D5CDD505-2E9C-101B-9397-08002B2CF9AE}" pid="6" name="MediaServiceImageTags">
    <vt:lpwstr/>
  </property>
  <property fmtid="{D5CDD505-2E9C-101B-9397-08002B2CF9AE}" pid="7" name="ContentTypeId">
    <vt:lpwstr>0x010100F81276DF02A4AB4F850C8FDE71AFD584</vt:lpwstr>
  </property>
  <property fmtid="{D5CDD505-2E9C-101B-9397-08002B2CF9AE}" pid="8" name="MSIP_Label_b1a6f161-e42b-4c47-8f69-f6a81e023e2d_Enabled">
    <vt:lpwstr>true</vt:lpwstr>
  </property>
  <property fmtid="{D5CDD505-2E9C-101B-9397-08002B2CF9AE}" pid="9" name="MSIP_Label_b1a6f161-e42b-4c47-8f69-f6a81e023e2d_Extended_MSFT_Method">
    <vt:lpwstr>Automatic</vt:lpwstr>
  </property>
  <property fmtid="{D5CDD505-2E9C-101B-9397-08002B2CF9AE}" pid="10" name="MSIP_Label_b1a6f161-e42b-4c47-8f69-f6a81e023e2d_SiteId">
    <vt:lpwstr>271df5c2-953a-497b-93ad-7adf7a4b3cd7</vt:lpwstr>
  </property>
  <property fmtid="{D5CDD505-2E9C-101B-9397-08002B2CF9AE}" pid="11" name="MSIP_Label_b1a6f161-e42b-4c47-8f69-f6a81e023e2d_Method">
    <vt:lpwstr>Standard</vt:lpwstr>
  </property>
  <property fmtid="{D5CDD505-2E9C-101B-9397-08002B2CF9AE}" pid="12" name="MSIP_Label_b1a6f161-e42b-4c47-8f69-f6a81e023e2d_SetDate">
    <vt:lpwstr>2026-06-18T22:43:03Z</vt:lpwstr>
  </property>
  <property fmtid="{D5CDD505-2E9C-101B-9397-08002B2CF9AE}" pid="13" name="MSIP_Label_b1a6f161-e42b-4c47-8f69-f6a81e023e2d_Application">
    <vt:lpwstr>Microsoft Azure Information Protection</vt:lpwstr>
  </property>
  <property fmtid="{D5CDD505-2E9C-101B-9397-08002B2CF9AE}" pid="14" name="Sensitivity">
    <vt:lpwstr>Internal</vt:lpwstr>
  </property>
  <property fmtid="{D5CDD505-2E9C-101B-9397-08002B2CF9AE}" pid="15" name="MSIP_Label_b1a6f161-e42b-4c47-8f69-f6a81e023e2d_ActionId">
    <vt:lpwstr>6963850d-4dd0-48a9-bde1-a436ea47c067</vt:lpwstr>
  </property>
  <property fmtid="{D5CDD505-2E9C-101B-9397-08002B2CF9AE}" pid="16" name="SV_HIDDEN_GRID_QUERY_LIST_4F35BF76-6C0D-4D9B-82B2-816C12CF3733">
    <vt:lpwstr>empty_477D106A-C0D6-4607-AEBD-E2C9D60EA279</vt:lpwstr>
  </property>
  <property fmtid="{D5CDD505-2E9C-101B-9397-08002B2CF9AE}" pid="17" name="MSIP_Label_b1a6f161-e42b-4c47-8f69-f6a81e023e2d_ContentBits">
    <vt:lpwstr>0</vt:lpwstr>
  </property>
</Properties>
</file>