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334" documentId="8_{4783DA36-DB2F-4056-A413-F3CCEDF4FE58}" xr6:coauthVersionLast="47" xr6:coauthVersionMax="47" xr10:uidLastSave="{FE08B3A5-66C8-4C45-9835-A96735AE23ED}"/>
  <bookViews>
    <workbookView xWindow="-120" yWindow="-120" windowWidth="29040" windowHeight="15720" xr2:uid="{12746E03-0BE3-4661-A8CC-CA97A0AD6249}"/>
  </bookViews>
  <sheets>
    <sheet name="DSMI Table" sheetId="1" r:id="rId1"/>
    <sheet name="Calculations 21 - 22" sheetId="16" r:id="rId2"/>
    <sheet name="Calculations 23 - 26" sheetId="15" r:id="rId3"/>
  </sheets>
  <definedNames>
    <definedName name="_xlnm.Print_Area" localSheetId="1">'Calculations 21 - 22'!$A$1:$K$24</definedName>
    <definedName name="_xlnm.Print_Area" localSheetId="0">'DSMI Table'!$B$2:$N$22</definedName>
    <definedName name="_xlnm.Print_Titles" localSheetId="2">'Calculations 23 - 26'!$B:$C,'Calculations 23 - 26'!$2:$2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2" i="15" l="1"/>
  <c r="F12" i="15"/>
  <c r="C21" i="16"/>
  <c r="F21" i="16"/>
  <c r="J21" i="16"/>
  <c r="J9" i="16"/>
  <c r="J24" i="16" s="1"/>
  <c r="F9" i="16"/>
  <c r="F24" i="16" s="1"/>
  <c r="J9" i="1"/>
  <c r="J12" i="15"/>
  <c r="F7" i="1"/>
  <c r="E7" i="1"/>
  <c r="G8" i="1"/>
  <c r="H8" i="1"/>
  <c r="I12" i="15" s="1"/>
  <c r="I8" i="1"/>
  <c r="M12" i="15" s="1"/>
  <c r="J8" i="1"/>
  <c r="Q12" i="15" s="1"/>
  <c r="Q6" i="15" s="1"/>
  <c r="K8" i="1"/>
  <c r="L8" i="1"/>
  <c r="M8" i="1"/>
  <c r="N8" i="1"/>
  <c r="F11" i="1"/>
  <c r="E11" i="1"/>
  <c r="E9" i="1"/>
  <c r="E12" i="15" l="1"/>
  <c r="G5" i="15" s="1" a="1"/>
  <c r="K11" i="15" a="1"/>
  <c r="K9" i="15" a="1"/>
  <c r="K8" i="15" a="1"/>
  <c r="K7" i="15" a="1"/>
  <c r="C9" i="16"/>
  <c r="G10" i="15" a="1"/>
  <c r="K6" i="15" a="1"/>
  <c r="G8" i="15" a="1"/>
  <c r="Q8" i="15"/>
  <c r="Q11" i="15"/>
  <c r="Q7" i="15"/>
  <c r="Q9" i="15"/>
  <c r="Q10" i="15"/>
  <c r="Q5" i="15"/>
  <c r="S9" i="15" a="1"/>
  <c r="S6" i="15" a="1"/>
  <c r="S7" i="15" a="1"/>
  <c r="S8" i="15" a="1"/>
  <c r="S10" i="15" a="1"/>
  <c r="S11" i="15" a="1"/>
  <c r="S5" i="15" a="1"/>
  <c r="E8" i="1"/>
  <c r="R12" i="15"/>
  <c r="O7" i="15" a="1"/>
  <c r="O9" i="15" a="1"/>
  <c r="O5" i="15" a="1"/>
  <c r="M7" i="15"/>
  <c r="M10" i="15"/>
  <c r="O10" i="15" s="1" a="1"/>
  <c r="M5" i="15"/>
  <c r="O6" i="15" a="1"/>
  <c r="M8" i="15"/>
  <c r="O8" i="15" a="1"/>
  <c r="M11" i="15"/>
  <c r="M9" i="15"/>
  <c r="M6" i="15"/>
  <c r="O11" i="15" a="1"/>
  <c r="I10" i="15"/>
  <c r="K10" i="15" s="1" a="1"/>
  <c r="I8" i="15"/>
  <c r="I5" i="15"/>
  <c r="I9" i="15"/>
  <c r="I6" i="15"/>
  <c r="I11" i="15"/>
  <c r="I7" i="15"/>
  <c r="C12" i="15"/>
  <c r="E5" i="15"/>
  <c r="F8" i="1"/>
  <c r="G6" i="15" l="1" a="1"/>
  <c r="G7" i="15" a="1"/>
  <c r="G11" i="15" a="1"/>
  <c r="E7" i="15"/>
  <c r="E8" i="15"/>
  <c r="E11" i="15"/>
  <c r="E10" i="15"/>
  <c r="E9" i="15"/>
  <c r="G9" i="15" s="1" a="1"/>
  <c r="E6" i="15"/>
  <c r="E9" i="16"/>
  <c r="E21" i="16"/>
  <c r="I21" i="16"/>
  <c r="I9" i="16"/>
  <c r="K5" i="15" a="1"/>
  <c r="I24" i="16" l="1"/>
  <c r="E24" i="16"/>
  <c r="I20" i="16"/>
  <c r="I18" i="16"/>
  <c r="I8" i="16"/>
  <c r="E6" i="16"/>
  <c r="E8" i="16"/>
  <c r="G7" i="16" a="1"/>
  <c r="E7" i="16"/>
  <c r="G6" i="16" a="1"/>
  <c r="G8" i="16" a="1"/>
  <c r="I16" i="16"/>
  <c r="I17" i="16"/>
  <c r="I19" i="16"/>
  <c r="I6" i="16"/>
  <c r="G16" i="16" a="1"/>
  <c r="I7" i="16"/>
  <c r="G17" i="16" a="1"/>
  <c r="G20" i="16" a="1"/>
  <c r="G19" i="16" a="1"/>
  <c r="G18" i="16" a="1"/>
  <c r="E18" i="16"/>
  <c r="E19" i="16"/>
  <c r="E16" i="16"/>
  <c r="E20" i="16"/>
  <c r="E17" i="16"/>
  <c r="K16" i="16" a="1"/>
  <c r="K17" i="16" a="1"/>
  <c r="K18" i="16" a="1"/>
  <c r="K20" i="16" a="1"/>
  <c r="K19" i="16" a="1"/>
  <c r="K7" i="16" a="1"/>
  <c r="K8" i="16" a="1"/>
  <c r="K6" i="16" a="1"/>
  <c r="S11" i="15" l="1"/>
  <c r="O11" i="15"/>
  <c r="K11" i="15"/>
  <c r="G11" i="15"/>
  <c r="S10" i="15"/>
  <c r="O10" i="15"/>
  <c r="K10" i="15"/>
  <c r="G10" i="15"/>
  <c r="S9" i="15"/>
  <c r="O9" i="15"/>
  <c r="K9" i="15"/>
  <c r="G9" i="15"/>
  <c r="S8" i="15"/>
  <c r="O8" i="15"/>
  <c r="K8" i="15"/>
  <c r="G8" i="15"/>
  <c r="S7" i="15"/>
  <c r="O7" i="15"/>
  <c r="K7" i="15"/>
  <c r="G7" i="15"/>
  <c r="S6" i="15"/>
  <c r="O6" i="15"/>
  <c r="K6" i="15"/>
  <c r="G6" i="15"/>
  <c r="S5" i="15"/>
  <c r="O5" i="15"/>
  <c r="K5" i="15"/>
  <c r="G5" i="15"/>
  <c r="K20" i="16"/>
  <c r="G20" i="16"/>
  <c r="K19" i="16"/>
  <c r="G19" i="16"/>
  <c r="K18" i="16"/>
  <c r="G18" i="16"/>
  <c r="K17" i="16"/>
  <c r="G17" i="16"/>
  <c r="K16" i="16"/>
  <c r="G16" i="16"/>
  <c r="G21" i="16" s="1"/>
  <c r="K8" i="16"/>
  <c r="G8" i="16"/>
  <c r="K7" i="16"/>
  <c r="G7" i="16"/>
  <c r="K6" i="16"/>
  <c r="G6" i="16"/>
  <c r="G9" i="16" l="1"/>
  <c r="K9" i="16"/>
  <c r="K21" i="16"/>
  <c r="G12" i="15"/>
  <c r="G10" i="1" s="1"/>
  <c r="K12" i="15"/>
  <c r="H10" i="1" s="1"/>
  <c r="O12" i="15"/>
  <c r="I10" i="1" s="1"/>
  <c r="S12" i="15"/>
  <c r="J10" i="1" s="1"/>
  <c r="K24" i="16" l="1"/>
  <c r="F10" i="1"/>
  <c r="G24" i="16"/>
  <c r="E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<sst xmlns="http://schemas.openxmlformats.org/spreadsheetml/2006/main" count="103" uniqueCount="60">
  <si>
    <t>Actuals</t>
  </si>
  <si>
    <t>Forecast</t>
  </si>
  <si>
    <t>Proposed</t>
  </si>
  <si>
    <t>Description</t>
  </si>
  <si>
    <t xml:space="preserve">(a) </t>
  </si>
  <si>
    <t>(b)</t>
  </si>
  <si>
    <t>(c )</t>
  </si>
  <si>
    <t>(d)</t>
  </si>
  <si>
    <t>(e )</t>
  </si>
  <si>
    <t>(f)</t>
  </si>
  <si>
    <t>(g)</t>
  </si>
  <si>
    <t>(h)</t>
  </si>
  <si>
    <t>(i)</t>
  </si>
  <si>
    <t>(j)</t>
  </si>
  <si>
    <t>Actual Earned DSMI</t>
  </si>
  <si>
    <t>NA</t>
  </si>
  <si>
    <t>Proposal Revised DSMI</t>
  </si>
  <si>
    <t>Notes</t>
  </si>
  <si>
    <t>Percentage of Budget</t>
  </si>
  <si>
    <t>LEG</t>
  </si>
  <si>
    <t>Scorecard Weighting</t>
  </si>
  <si>
    <t>Achievement</t>
  </si>
  <si>
    <t>Proposed Max</t>
  </si>
  <si>
    <t>DSMI Earnings</t>
  </si>
  <si>
    <t>Proposed DSMI Earnings</t>
  </si>
  <si>
    <t>Resource Acquisition</t>
  </si>
  <si>
    <t>Low Income</t>
  </si>
  <si>
    <t>Market Transformation</t>
  </si>
  <si>
    <t>Large Volume</t>
  </si>
  <si>
    <t>Performance Based</t>
  </si>
  <si>
    <t>2026 Forecast</t>
  </si>
  <si>
    <t>EGI</t>
  </si>
  <si>
    <t>Commercial</t>
  </si>
  <si>
    <t>Industrial</t>
  </si>
  <si>
    <t>Pay for Performance</t>
  </si>
  <si>
    <t>Building Beyond Code</t>
  </si>
  <si>
    <t>LUG</t>
  </si>
  <si>
    <t>Actual DSMI Earnings</t>
  </si>
  <si>
    <t>TOTAL</t>
  </si>
  <si>
    <t>Proposed Max*</t>
  </si>
  <si>
    <t>*Proposed Maximum is split 50/50 LEG and LUG as were the actual maximum DSMI</t>
  </si>
  <si>
    <t>EGI TOTAL</t>
  </si>
  <si>
    <t>(1) 2027 and forward are proposed, not approved.</t>
  </si>
  <si>
    <t xml:space="preserve">(2) Proposed maximum is earned at 130% scorecard achievement based on requested scenario. </t>
  </si>
  <si>
    <t>(3) 2025 is based on draft values.</t>
  </si>
  <si>
    <t>(4) 2026 is forecast.</t>
  </si>
  <si>
    <t>Please see Calculations tabs for calculations that support line  4, Proposal Revised DSMI</t>
  </si>
  <si>
    <t>Value for above Proposed Maximum calculations</t>
  </si>
  <si>
    <t>Please refer to response part b. The proposed DSMI is 5% of total budget at the 100% target. The proposed maximum DSMI is 10% of total budget.</t>
  </si>
  <si>
    <t>Table 3: DSMI Achievement for Legacy Union Gas (2021 and 2022)</t>
  </si>
  <si>
    <t>Residential</t>
  </si>
  <si>
    <t>Table 4: DSMI Achievement for Enbridge Gas (2023 to 2026)</t>
  </si>
  <si>
    <r>
      <t xml:space="preserve">2025 </t>
    </r>
    <r>
      <rPr>
        <vertAlign val="superscript"/>
        <sz val="10"/>
        <color theme="1"/>
        <rFont val="Arial"/>
        <family val="2"/>
      </rPr>
      <t>(3)</t>
    </r>
  </si>
  <si>
    <r>
      <t xml:space="preserve">2026 </t>
    </r>
    <r>
      <rPr>
        <vertAlign val="superscript"/>
        <sz val="10"/>
        <color theme="1"/>
        <rFont val="Arial"/>
        <family val="2"/>
      </rPr>
      <t>(4)</t>
    </r>
  </si>
  <si>
    <r>
      <t xml:space="preserve">Approved Maximum </t>
    </r>
    <r>
      <rPr>
        <vertAlign val="superscript"/>
        <sz val="10"/>
        <color theme="1"/>
        <rFont val="Arial"/>
        <family val="2"/>
      </rPr>
      <t>(1)</t>
    </r>
  </si>
  <si>
    <r>
      <t xml:space="preserve">Proposed Maximum </t>
    </r>
    <r>
      <rPr>
        <vertAlign val="superscript"/>
        <sz val="10"/>
        <color theme="1"/>
        <rFont val="Arial"/>
        <family val="2"/>
      </rPr>
      <t>(2)</t>
    </r>
  </si>
  <si>
    <r>
      <t xml:space="preserve">Budget </t>
    </r>
    <r>
      <rPr>
        <vertAlign val="superscript"/>
        <sz val="10"/>
        <color theme="1"/>
        <rFont val="Arial"/>
        <family val="2"/>
      </rPr>
      <t>(1)</t>
    </r>
  </si>
  <si>
    <t>Table 1
Estimate of Previous DSMI Earnings Under Proposed Scenario</t>
  </si>
  <si>
    <t>Line
 No.</t>
  </si>
  <si>
    <t>Table 2 
DSMI Achievement for Legacy Enbridge Gas (2021 and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</si>
</sst>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Fill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/>
    <xf numFmtId="43" fontId="2" fillId="0" borderId="0" xfId="0" applyNumberFormat="1" applyFont="1"/>
    <xf numFmtId="0" fontId="2" fillId="0" borderId="0" xfId="0" quotePrefix="1" applyFont="1"/>
    <xf numFmtId="9" fontId="2" fillId="0" borderId="0" xfId="0" applyNumberFormat="1" applyFont="1"/>
    <xf numFmtId="9" fontId="2" fillId="0" borderId="0" xfId="3" applyFont="1" applyFill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9" fontId="2" fillId="0" borderId="10" xfId="3" applyFont="1" applyBorder="1" applyAlignment="1">
      <alignment horizontal="center" vertical="center"/>
    </xf>
    <xf numFmtId="9" fontId="2" fillId="0" borderId="8" xfId="3" applyFont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0" borderId="0" xfId="2" applyNumberFormat="1" applyFont="1" applyBorder="1" applyAlignment="1">
      <alignment vertical="center"/>
    </xf>
    <xf numFmtId="165" fontId="2" fillId="0" borderId="9" xfId="0" applyNumberFormat="1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vertical="center"/>
    </xf>
    <xf numFmtId="9" fontId="2" fillId="0" borderId="11" xfId="3" applyFont="1" applyBorder="1" applyAlignment="1">
      <alignment horizontal="center" vertical="center"/>
    </xf>
    <xf numFmtId="9" fontId="2" fillId="0" borderId="6" xfId="3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165" fontId="2" fillId="0" borderId="1" xfId="2" applyNumberFormat="1" applyFont="1" applyBorder="1" applyAlignment="1">
      <alignment vertical="center"/>
    </xf>
    <xf numFmtId="165" fontId="2" fillId="0" borderId="7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9" fontId="2" fillId="0" borderId="3" xfId="0" applyNumberFormat="1" applyFont="1" applyBorder="1" applyAlignment="1">
      <alignment horizontal="center" vertical="center"/>
    </xf>
    <xf numFmtId="165" fontId="2" fillId="0" borderId="2" xfId="2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165" fontId="2" fillId="0" borderId="5" xfId="2" applyNumberFormat="1" applyFont="1" applyBorder="1" applyAlignment="1">
      <alignment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9" fontId="2" fillId="0" borderId="9" xfId="3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5" fontId="5" fillId="0" borderId="2" xfId="0" applyNumberFormat="1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9" fontId="2" fillId="0" borderId="8" xfId="3" applyFont="1" applyFill="1" applyBorder="1" applyAlignment="1">
      <alignment horizontal="center" vertical="center"/>
    </xf>
    <xf numFmtId="165" fontId="2" fillId="0" borderId="0" xfId="2" applyNumberFormat="1" applyFont="1" applyBorder="1"/>
    <xf numFmtId="165" fontId="2" fillId="0" borderId="0" xfId="0" applyNumberFormat="1" applyFont="1"/>
    <xf numFmtId="44" fontId="2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left" indent="1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7F87-A35E-41C2-8869-E64201FE62A3}">
  <sheetPr codeName="Sheet1">
    <tabColor theme="9" tint="0.59999389629810485"/>
    <pageSetUpPr fitToPage="1"/>
  </sheetPr>
  <dimension ref="B2:N22"/>
  <sheetViews>
    <sheetView showGridLines="0" tabSelected="1" zoomScale="115" zoomScaleNormal="115" workbookViewId="0">
      <selection activeCell="E9" sqref="E9"/>
    </sheetView>
  </sheetViews>
  <sheetFormatPr defaultColWidth="8.7109375" defaultRowHeight="12.75" x14ac:dyDescent="0.2"/>
  <cols>
    <col min="1" max="1" width="3.28515625" style="1" customWidth="1"/>
    <col min="2" max="2" width="6" style="1" customWidth="1"/>
    <col min="3" max="3" width="3" style="1" customWidth="1"/>
    <col min="4" max="4" width="22.140625" style="1" customWidth="1"/>
    <col min="5" max="14" width="12.7109375" style="1" customWidth="1"/>
    <col min="15" max="16384" width="8.7109375" style="1"/>
  </cols>
  <sheetData>
    <row r="2" spans="2:14" ht="30" customHeight="1" x14ac:dyDescent="0.2">
      <c r="B2" s="61" t="s">
        <v>57</v>
      </c>
      <c r="C2" s="6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4" spans="2:14" x14ac:dyDescent="0.2">
      <c r="E4" s="60" t="s">
        <v>0</v>
      </c>
      <c r="F4" s="60"/>
      <c r="G4" s="60"/>
      <c r="H4" s="60"/>
      <c r="I4" s="60"/>
      <c r="J4" s="2" t="s">
        <v>1</v>
      </c>
      <c r="K4" s="60" t="s">
        <v>2</v>
      </c>
      <c r="L4" s="60"/>
      <c r="M4" s="60"/>
      <c r="N4" s="60"/>
    </row>
    <row r="5" spans="2:14" ht="25.5" x14ac:dyDescent="0.2">
      <c r="B5" s="15" t="s">
        <v>58</v>
      </c>
      <c r="C5" s="16"/>
      <c r="D5" s="3" t="s">
        <v>3</v>
      </c>
      <c r="E5" s="4">
        <v>2021</v>
      </c>
      <c r="F5" s="4">
        <v>2022</v>
      </c>
      <c r="G5" s="4">
        <v>2023</v>
      </c>
      <c r="H5" s="4">
        <v>2024</v>
      </c>
      <c r="I5" s="4" t="s">
        <v>52</v>
      </c>
      <c r="J5" s="4" t="s">
        <v>53</v>
      </c>
      <c r="K5" s="4">
        <v>2027</v>
      </c>
      <c r="L5" s="4">
        <v>2028</v>
      </c>
      <c r="M5" s="4">
        <v>2029</v>
      </c>
      <c r="N5" s="4">
        <v>2030</v>
      </c>
    </row>
    <row r="6" spans="2:14" x14ac:dyDescent="0.2">
      <c r="B6" s="3"/>
      <c r="C6" s="3"/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</row>
    <row r="7" spans="2:14" ht="14.25" x14ac:dyDescent="0.2">
      <c r="B7" s="6">
        <v>1</v>
      </c>
      <c r="C7" s="6"/>
      <c r="D7" s="1" t="s">
        <v>54</v>
      </c>
      <c r="E7" s="7">
        <f>10450000+10450000</f>
        <v>20900000</v>
      </c>
      <c r="F7" s="7">
        <f>10450000+10450000</f>
        <v>20900000</v>
      </c>
      <c r="G7" s="7">
        <v>20900000</v>
      </c>
      <c r="H7" s="7">
        <v>22321200</v>
      </c>
      <c r="I7" s="7">
        <v>23191727</v>
      </c>
      <c r="J7" s="7">
        <v>23748328</v>
      </c>
      <c r="K7" s="7">
        <v>19117492</v>
      </c>
      <c r="L7" s="7">
        <v>20401131</v>
      </c>
      <c r="M7" s="7">
        <v>21565526</v>
      </c>
      <c r="N7" s="7">
        <v>22672480</v>
      </c>
    </row>
    <row r="8" spans="2:14" ht="14.25" x14ac:dyDescent="0.2">
      <c r="B8" s="6">
        <v>2</v>
      </c>
      <c r="C8" s="6"/>
      <c r="D8" s="1" t="s">
        <v>55</v>
      </c>
      <c r="E8" s="7">
        <f t="shared" ref="E8:N8" si="0">+E11*$E$21</f>
        <v>13210691.700000001</v>
      </c>
      <c r="F8" s="7">
        <f t="shared" si="0"/>
        <v>13210691.700000001</v>
      </c>
      <c r="G8" s="7">
        <f t="shared" si="0"/>
        <v>16724292.100000001</v>
      </c>
      <c r="H8" s="7">
        <f t="shared" si="0"/>
        <v>18308192.699999999</v>
      </c>
      <c r="I8" s="7">
        <f t="shared" si="0"/>
        <v>19514493.100000001</v>
      </c>
      <c r="J8" s="7">
        <f t="shared" si="0"/>
        <v>19979768.900000002</v>
      </c>
      <c r="K8" s="7">
        <f t="shared" si="0"/>
        <v>19117492.199999999</v>
      </c>
      <c r="L8" s="7">
        <f t="shared" si="0"/>
        <v>20401130.900000002</v>
      </c>
      <c r="M8" s="7">
        <f t="shared" si="0"/>
        <v>21565526.400000002</v>
      </c>
      <c r="N8" s="7">
        <f t="shared" si="0"/>
        <v>22672480.100000001</v>
      </c>
    </row>
    <row r="9" spans="2:14" x14ac:dyDescent="0.2">
      <c r="B9" s="6">
        <v>3</v>
      </c>
      <c r="C9" s="6"/>
      <c r="D9" s="1" t="s">
        <v>14</v>
      </c>
      <c r="E9" s="7">
        <f>4533800+1409210</f>
        <v>5943010</v>
      </c>
      <c r="F9" s="7">
        <v>5236372</v>
      </c>
      <c r="G9" s="7">
        <v>7106347</v>
      </c>
      <c r="H9" s="7">
        <v>12731622</v>
      </c>
      <c r="I9" s="7">
        <v>10175761</v>
      </c>
      <c r="J9" s="8">
        <f>+J7*0.4</f>
        <v>9499331.2000000011</v>
      </c>
      <c r="K9" s="8" t="s">
        <v>15</v>
      </c>
      <c r="L9" s="8" t="s">
        <v>15</v>
      </c>
      <c r="M9" s="8" t="s">
        <v>15</v>
      </c>
      <c r="N9" s="8" t="s">
        <v>15</v>
      </c>
    </row>
    <row r="10" spans="2:14" x14ac:dyDescent="0.2">
      <c r="B10" s="6">
        <v>4</v>
      </c>
      <c r="C10" s="6"/>
      <c r="D10" s="1" t="s">
        <v>16</v>
      </c>
      <c r="E10" s="7">
        <f>+'Calculations 21 - 22'!G9+'Calculations 21 - 22'!G21</f>
        <v>5131252.8344750013</v>
      </c>
      <c r="F10" s="7">
        <f>+'Calculations 21 - 22'!K9+'Calculations 21 - 22'!K21</f>
        <v>4405765.681950001</v>
      </c>
      <c r="G10" s="7">
        <f>+'Calculations 23 - 26'!G12</f>
        <v>7124548.4346000021</v>
      </c>
      <c r="H10" s="7">
        <f>+'Calculations 23 - 26'!K12</f>
        <v>10991018.3509</v>
      </c>
      <c r="I10" s="7">
        <f>+'Calculations 23 - 26'!O12</f>
        <v>9597878.1896833368</v>
      </c>
      <c r="J10" s="7">
        <f>+'Calculations 23 - 26'!S12</f>
        <v>9757246.5500000045</v>
      </c>
      <c r="K10" s="8" t="s">
        <v>15</v>
      </c>
      <c r="L10" s="8" t="s">
        <v>15</v>
      </c>
      <c r="M10" s="8" t="s">
        <v>15</v>
      </c>
      <c r="N10" s="8" t="s">
        <v>15</v>
      </c>
    </row>
    <row r="11" spans="2:14" ht="14.25" x14ac:dyDescent="0.2">
      <c r="B11" s="6">
        <v>5</v>
      </c>
      <c r="C11" s="6"/>
      <c r="D11" s="1" t="s">
        <v>56</v>
      </c>
      <c r="E11" s="7">
        <f>67757376+64349541</f>
        <v>132106917</v>
      </c>
      <c r="F11" s="7">
        <f>67757376+64349541</f>
        <v>132106917</v>
      </c>
      <c r="G11" s="7">
        <v>167242921</v>
      </c>
      <c r="H11" s="7">
        <v>183081927</v>
      </c>
      <c r="I11" s="7">
        <v>195144931</v>
      </c>
      <c r="J11" s="7">
        <v>199797689</v>
      </c>
      <c r="K11" s="7">
        <v>191174922</v>
      </c>
      <c r="L11" s="7">
        <v>204011309</v>
      </c>
      <c r="M11" s="7">
        <v>215655264</v>
      </c>
      <c r="N11" s="7">
        <v>226724801</v>
      </c>
    </row>
    <row r="12" spans="2:14" x14ac:dyDescent="0.2">
      <c r="B12" s="6"/>
      <c r="C12" s="6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 x14ac:dyDescent="0.2">
      <c r="D13" s="3" t="s">
        <v>17</v>
      </c>
      <c r="J13" s="10"/>
    </row>
    <row r="14" spans="2:14" x14ac:dyDescent="0.2">
      <c r="D14" s="11" t="s">
        <v>42</v>
      </c>
      <c r="J14" s="10"/>
    </row>
    <row r="15" spans="2:14" x14ac:dyDescent="0.2">
      <c r="D15" s="1" t="s">
        <v>43</v>
      </c>
    </row>
    <row r="16" spans="2:14" x14ac:dyDescent="0.2">
      <c r="D16" s="11" t="s">
        <v>44</v>
      </c>
    </row>
    <row r="17" spans="4:6" x14ac:dyDescent="0.2">
      <c r="D17" s="11" t="s">
        <v>45</v>
      </c>
    </row>
    <row r="20" spans="4:6" x14ac:dyDescent="0.2">
      <c r="D20" s="3" t="s">
        <v>47</v>
      </c>
    </row>
    <row r="21" spans="4:6" x14ac:dyDescent="0.2">
      <c r="D21" s="1" t="s">
        <v>18</v>
      </c>
      <c r="E21" s="13">
        <v>0.1</v>
      </c>
      <c r="F21" s="1" t="s">
        <v>48</v>
      </c>
    </row>
    <row r="22" spans="4:6" x14ac:dyDescent="0.2">
      <c r="D22" s="1" t="s">
        <v>46</v>
      </c>
    </row>
  </sheetData>
  <mergeCells count="3">
    <mergeCell ref="E4:I4"/>
    <mergeCell ref="K4:N4"/>
    <mergeCell ref="B2:N2"/>
  </mergeCells>
  <printOptions horizontalCentered="1"/>
  <pageMargins left="0.7" right="0.7" top="1.2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01E7-1ED1-4351-AC58-E2CCD5E776C9}">
  <sheetPr codeName="Sheet2">
    <tabColor theme="9" tint="0.59999389629810485"/>
    <pageSetUpPr fitToPage="1"/>
  </sheetPr>
  <dimension ref="A2:L24"/>
  <sheetViews>
    <sheetView showGridLines="0" zoomScale="115" zoomScaleNormal="115" workbookViewId="0">
      <selection activeCell="A2" sqref="A2:K2"/>
    </sheetView>
  </sheetViews>
  <sheetFormatPr defaultColWidth="9.140625" defaultRowHeight="12.75" x14ac:dyDescent="0.25"/>
  <cols>
    <col min="1" max="1" width="4.7109375" style="17" customWidth="1"/>
    <col min="2" max="2" width="21" style="17" customWidth="1"/>
    <col min="3" max="3" width="12.85546875" style="17" customWidth="1"/>
    <col min="4" max="4" width="12.7109375" style="17" customWidth="1"/>
    <col min="5" max="7" width="16.7109375" style="17" customWidth="1"/>
    <col min="8" max="8" width="12.7109375" style="17" customWidth="1"/>
    <col min="9" max="11" width="16.7109375" style="17" customWidth="1"/>
    <col min="12" max="12" width="12.5703125" style="17" bestFit="1" customWidth="1"/>
    <col min="13" max="16384" width="9.140625" style="17"/>
  </cols>
  <sheetData>
    <row r="2" spans="1:12" ht="30.95" customHeight="1" x14ac:dyDescent="0.25">
      <c r="A2" s="65" t="s">
        <v>59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4" spans="1:12" x14ac:dyDescent="0.25">
      <c r="D4" s="62">
        <v>2021</v>
      </c>
      <c r="E4" s="63"/>
      <c r="F4" s="63"/>
      <c r="G4" s="64"/>
      <c r="H4" s="62">
        <v>2022</v>
      </c>
      <c r="I4" s="63"/>
      <c r="J4" s="63"/>
      <c r="K4" s="64"/>
    </row>
    <row r="5" spans="1:12" ht="25.5" x14ac:dyDescent="0.25">
      <c r="B5" s="18" t="s">
        <v>19</v>
      </c>
      <c r="C5" s="19" t="s">
        <v>20</v>
      </c>
      <c r="D5" s="20" t="s">
        <v>21</v>
      </c>
      <c r="E5" s="21" t="s">
        <v>39</v>
      </c>
      <c r="F5" s="21" t="s">
        <v>37</v>
      </c>
      <c r="G5" s="22" t="s">
        <v>24</v>
      </c>
      <c r="H5" s="20" t="s">
        <v>21</v>
      </c>
      <c r="I5" s="21" t="s">
        <v>39</v>
      </c>
      <c r="J5" s="21" t="s">
        <v>37</v>
      </c>
      <c r="K5" s="22" t="s">
        <v>24</v>
      </c>
    </row>
    <row r="6" spans="1:12" x14ac:dyDescent="0.25">
      <c r="B6" s="23" t="s">
        <v>25</v>
      </c>
      <c r="C6" s="24">
        <v>0.67</v>
      </c>
      <c r="D6" s="25">
        <v>1.1399999999999999</v>
      </c>
      <c r="E6" s="26">
        <f>+C6*$E$9</f>
        <v>4425581.7195000006</v>
      </c>
      <c r="F6" s="27">
        <v>4013496</v>
      </c>
      <c r="G6" s="28" cm="1">
        <f t="array" ref="G6">_xlfn.IFS(D6&lt;70%,0,D6&lt;130%,(D6-70%)/60%*C6*$E$9,D6&gt;=130%,E6)</f>
        <v>3245426.5943000005</v>
      </c>
      <c r="H6" s="25">
        <v>1.18</v>
      </c>
      <c r="I6" s="26">
        <f>C6*$E$9</f>
        <v>4425581.7195000006</v>
      </c>
      <c r="J6" s="27">
        <v>4341500</v>
      </c>
      <c r="K6" s="28" cm="1">
        <f t="array" ref="K6">_xlfn.IFS(H6&lt;70%,0,H6&lt;130%,(H6-70%)/60%*C6*$I$9,H6&gt;=130%,I6)</f>
        <v>3540465.3756000004</v>
      </c>
    </row>
    <row r="7" spans="1:12" x14ac:dyDescent="0.25">
      <c r="B7" s="23" t="s">
        <v>26</v>
      </c>
      <c r="C7" s="24">
        <v>0.22</v>
      </c>
      <c r="D7" s="25">
        <v>0.89</v>
      </c>
      <c r="E7" s="26">
        <f>+C7*$E$9</f>
        <v>1453176.0870000001</v>
      </c>
      <c r="F7" s="27">
        <v>520304</v>
      </c>
      <c r="G7" s="28" cm="1">
        <f t="array" ref="G7">_xlfn.IFS(D7&lt;70%,0,D7&lt;130%,(D7-70%)/60%*C7*$E$9,D7&gt;=130%,E7)</f>
        <v>460172.42755000014</v>
      </c>
      <c r="H7" s="25">
        <v>1</v>
      </c>
      <c r="I7" s="26">
        <f t="shared" ref="I7:I8" si="0">C7*$E$9</f>
        <v>1453176.0870000001</v>
      </c>
      <c r="J7" s="27">
        <v>894872</v>
      </c>
      <c r="K7" s="28" cm="1">
        <f t="array" ref="K7">_xlfn.IFS(H7&lt;70%,0,H7&lt;130%,(H7-70%)/60%*C7*$I$9,H7&gt;=130%,I7)</f>
        <v>726588.04350000026</v>
      </c>
      <c r="L7" s="29"/>
    </row>
    <row r="8" spans="1:12" x14ac:dyDescent="0.25">
      <c r="B8" s="30" t="s">
        <v>27</v>
      </c>
      <c r="C8" s="31">
        <v>0.11</v>
      </c>
      <c r="D8" s="32">
        <v>0.37</v>
      </c>
      <c r="E8" s="33">
        <f>+C8*$E$9</f>
        <v>726588.04350000003</v>
      </c>
      <c r="F8" s="34">
        <v>0</v>
      </c>
      <c r="G8" s="35" cm="1">
        <f t="array" ref="G8">_xlfn.IFS(D8&lt;70%,0,D8&lt;130%,(D8-70%)/60%*C8*$E$9,D8&gt;=130%,E8)</f>
        <v>0</v>
      </c>
      <c r="H8" s="32">
        <v>0.37</v>
      </c>
      <c r="I8" s="33">
        <f t="shared" si="0"/>
        <v>726588.04350000003</v>
      </c>
      <c r="J8" s="34">
        <v>0</v>
      </c>
      <c r="K8" s="35" cm="1">
        <f t="array" ref="K8">_xlfn.IFS(H8&lt;70%,0,H8&lt;130%,(H8-70%)/60%*C8*$I$9,H8&gt;=130%,I8)</f>
        <v>0</v>
      </c>
    </row>
    <row r="9" spans="1:12" x14ac:dyDescent="0.25">
      <c r="B9" s="36" t="s">
        <v>38</v>
      </c>
      <c r="C9" s="37">
        <f>SUM(C6:C8)</f>
        <v>1</v>
      </c>
      <c r="D9" s="36"/>
      <c r="E9" s="38">
        <f>+'DSMI Table'!E8*0.5</f>
        <v>6605345.8500000006</v>
      </c>
      <c r="F9" s="39">
        <f>SUM(F6:F8)</f>
        <v>4533800</v>
      </c>
      <c r="G9" s="40">
        <f>SUM(G6:G8)</f>
        <v>3705599.0218500006</v>
      </c>
      <c r="H9" s="36"/>
      <c r="I9" s="38">
        <f>+'DSMI Table'!F8*0.5</f>
        <v>6605345.8500000006</v>
      </c>
      <c r="J9" s="39">
        <f>SUM(J6:J8)</f>
        <v>5236372</v>
      </c>
      <c r="K9" s="40">
        <f>SUM(K6:K8)</f>
        <v>4267053.4191000005</v>
      </c>
    </row>
    <row r="10" spans="1:12" x14ac:dyDescent="0.25">
      <c r="B10" s="17" t="s">
        <v>40</v>
      </c>
      <c r="C10" s="41"/>
      <c r="E10" s="27"/>
      <c r="F10" s="26"/>
      <c r="G10" s="27"/>
      <c r="I10" s="27"/>
      <c r="J10" s="26"/>
      <c r="K10" s="27"/>
    </row>
    <row r="11" spans="1:12" x14ac:dyDescent="0.25">
      <c r="C11" s="41"/>
      <c r="E11" s="27"/>
      <c r="F11" s="26"/>
      <c r="G11" s="27"/>
      <c r="I11" s="27"/>
      <c r="J11" s="26"/>
      <c r="K11" s="27"/>
    </row>
    <row r="12" spans="1:12" x14ac:dyDescent="0.25">
      <c r="B12" s="17" t="s">
        <v>49</v>
      </c>
      <c r="C12" s="42"/>
    </row>
    <row r="13" spans="1:12" x14ac:dyDescent="0.25">
      <c r="C13" s="42"/>
    </row>
    <row r="14" spans="1:12" x14ac:dyDescent="0.25">
      <c r="C14" s="42"/>
      <c r="D14" s="62">
        <v>2021</v>
      </c>
      <c r="E14" s="63"/>
      <c r="F14" s="63"/>
      <c r="G14" s="64"/>
      <c r="H14" s="62">
        <v>2022</v>
      </c>
      <c r="I14" s="63"/>
      <c r="J14" s="63"/>
      <c r="K14" s="64"/>
    </row>
    <row r="15" spans="1:12" ht="25.5" x14ac:dyDescent="0.25">
      <c r="B15" s="18" t="s">
        <v>36</v>
      </c>
      <c r="C15" s="22" t="s">
        <v>20</v>
      </c>
      <c r="D15" s="20" t="s">
        <v>21</v>
      </c>
      <c r="E15" s="21" t="s">
        <v>39</v>
      </c>
      <c r="F15" s="21" t="s">
        <v>23</v>
      </c>
      <c r="G15" s="22" t="s">
        <v>24</v>
      </c>
      <c r="H15" s="20" t="s">
        <v>21</v>
      </c>
      <c r="I15" s="21" t="s">
        <v>39</v>
      </c>
      <c r="J15" s="21" t="s">
        <v>23</v>
      </c>
      <c r="K15" s="22" t="s">
        <v>24</v>
      </c>
    </row>
    <row r="16" spans="1:12" x14ac:dyDescent="0.25">
      <c r="B16" s="43" t="s">
        <v>25</v>
      </c>
      <c r="C16" s="44">
        <v>0.63</v>
      </c>
      <c r="D16" s="25">
        <v>0.82</v>
      </c>
      <c r="E16" s="26">
        <f>+C16*$E$21</f>
        <v>4161367.8855000003</v>
      </c>
      <c r="F16" s="27">
        <v>746628</v>
      </c>
      <c r="G16" s="28" cm="1">
        <f t="array" ref="G16">_xlfn.IFS(D16&lt;70%,0,D16&lt;130%,(D16-70%)/60%*C16*$E$9,D16&gt;=130%,E16)</f>
        <v>832273.57710000011</v>
      </c>
      <c r="H16" s="25">
        <v>0.72</v>
      </c>
      <c r="I16" s="26">
        <f>C16*$E$9</f>
        <v>4161367.8855000003</v>
      </c>
      <c r="J16" s="27">
        <v>0</v>
      </c>
      <c r="K16" s="28" cm="1">
        <f t="array" ref="K16">_xlfn.IFS(H16&lt;70%,0,H16&lt;130%,(H16-70%)/60%*C16*$I$21,H16&gt;=130%,I16)</f>
        <v>138712.26285000014</v>
      </c>
    </row>
    <row r="17" spans="2:11" x14ac:dyDescent="0.25">
      <c r="B17" s="23" t="s">
        <v>26</v>
      </c>
      <c r="C17" s="44">
        <v>0.25</v>
      </c>
      <c r="D17" s="25">
        <v>0.73</v>
      </c>
      <c r="E17" s="26">
        <f t="shared" ref="E17:E20" si="1">+C17*$E$21</f>
        <v>1651336.4625000001</v>
      </c>
      <c r="F17" s="27">
        <v>0</v>
      </c>
      <c r="G17" s="28" cm="1">
        <f t="array" ref="G17">_xlfn.IFS(D17&lt;70%,0,D17&lt;130%,(D17-70%)/60%*C17*$E$9,D17&gt;=130%,E17)</f>
        <v>82566.823125000083</v>
      </c>
      <c r="H17" s="25">
        <v>0.36</v>
      </c>
      <c r="I17" s="26">
        <f t="shared" ref="I17:I20" si="2">C17*$E$9</f>
        <v>1651336.4625000001</v>
      </c>
      <c r="J17" s="27">
        <v>0</v>
      </c>
      <c r="K17" s="28" cm="1">
        <f t="array" ref="K17">_xlfn.IFS(H17&lt;70%,0,H17&lt;130%,(H17-70%)/60%*C17*$I$21,H17&gt;=130%,I17)</f>
        <v>0</v>
      </c>
    </row>
    <row r="18" spans="2:11" x14ac:dyDescent="0.25">
      <c r="B18" s="23" t="s">
        <v>28</v>
      </c>
      <c r="C18" s="44">
        <v>0.06</v>
      </c>
      <c r="D18" s="25">
        <v>1.22</v>
      </c>
      <c r="E18" s="26">
        <f t="shared" si="1"/>
        <v>396320.75100000005</v>
      </c>
      <c r="F18" s="27">
        <v>461621</v>
      </c>
      <c r="G18" s="28" cm="1">
        <f t="array" ref="G18">_xlfn.IFS(D18&lt;70%,0,D18&lt;130%,(D18-70%)/60%*C18*$E$9,D18&gt;=130%,E18)</f>
        <v>343477.98420000001</v>
      </c>
      <c r="H18" s="25">
        <v>0.69</v>
      </c>
      <c r="I18" s="26">
        <f t="shared" si="2"/>
        <v>396320.75100000005</v>
      </c>
      <c r="J18" s="27">
        <v>0</v>
      </c>
      <c r="K18" s="28" cm="1">
        <f t="array" ref="K18">_xlfn.IFS(H18&lt;70%,0,H18&lt;130%,(H18-70%)/60%*C18*$I$21,H18&gt;=130%,I18)</f>
        <v>0</v>
      </c>
    </row>
    <row r="19" spans="2:11" x14ac:dyDescent="0.25">
      <c r="B19" s="23" t="s">
        <v>27</v>
      </c>
      <c r="C19" s="44">
        <v>0.04</v>
      </c>
      <c r="D19" s="25">
        <v>1.08</v>
      </c>
      <c r="E19" s="26">
        <f t="shared" si="1"/>
        <v>264213.83400000003</v>
      </c>
      <c r="F19" s="27">
        <v>200960</v>
      </c>
      <c r="G19" s="28" cm="1">
        <f t="array" ref="G19">_xlfn.IFS(D19&lt;70%,0,D19&lt;130%,(D19-70%)/60%*C19*$E$9,D19&gt;=130%,E19)</f>
        <v>167335.42820000008</v>
      </c>
      <c r="H19" s="25">
        <v>0.38</v>
      </c>
      <c r="I19" s="26">
        <f t="shared" si="2"/>
        <v>264213.83400000003</v>
      </c>
      <c r="J19" s="27">
        <v>0</v>
      </c>
      <c r="K19" s="28" cm="1">
        <f t="array" ref="K19">_xlfn.IFS(H19&lt;70%,0,H19&lt;130%,(H19-70%)/60%*C19*$I$21,H19&gt;=130%,I19)</f>
        <v>0</v>
      </c>
    </row>
    <row r="20" spans="2:11" x14ac:dyDescent="0.25">
      <c r="B20" s="30" t="s">
        <v>29</v>
      </c>
      <c r="C20" s="44">
        <v>0.02</v>
      </c>
      <c r="D20" s="25">
        <v>0.23</v>
      </c>
      <c r="E20" s="26">
        <f t="shared" si="1"/>
        <v>132106.91700000002</v>
      </c>
      <c r="F20" s="27">
        <v>0</v>
      </c>
      <c r="G20" s="28" cm="1">
        <f t="array" ref="G20">_xlfn.IFS(D20&lt;70%,0,D20&lt;130%,(D20-70%)/60%*C20*$E$9,D20&gt;=130%,E20)</f>
        <v>0</v>
      </c>
      <c r="H20" s="25">
        <v>0.06</v>
      </c>
      <c r="I20" s="26">
        <f t="shared" si="2"/>
        <v>132106.91700000002</v>
      </c>
      <c r="J20" s="27">
        <v>0</v>
      </c>
      <c r="K20" s="28" cm="1">
        <f t="array" ref="K20">_xlfn.IFS(H20&lt;70%,0,H20&lt;130%,(H20-70%)/60%*C20*$I$21,H20&gt;=130%,I20)</f>
        <v>0</v>
      </c>
    </row>
    <row r="21" spans="2:11" x14ac:dyDescent="0.25">
      <c r="B21" s="36" t="s">
        <v>38</v>
      </c>
      <c r="C21" s="45">
        <f>SUM(C16:C20)</f>
        <v>1</v>
      </c>
      <c r="D21" s="36"/>
      <c r="E21" s="38">
        <f>+'DSMI Table'!E8*0.5</f>
        <v>6605345.8500000006</v>
      </c>
      <c r="F21" s="39">
        <f>SUM(F16:F20)</f>
        <v>1409209</v>
      </c>
      <c r="G21" s="40">
        <f>SUM(G16:G19)</f>
        <v>1425653.8126250003</v>
      </c>
      <c r="H21" s="36"/>
      <c r="I21" s="38">
        <f>+'DSMI Table'!F8*0.5</f>
        <v>6605345.8500000006</v>
      </c>
      <c r="J21" s="39">
        <f>SUM(J16:J19)</f>
        <v>0</v>
      </c>
      <c r="K21" s="40">
        <f>SUM(K16:K19)</f>
        <v>138712.26285000014</v>
      </c>
    </row>
    <row r="22" spans="2:11" x14ac:dyDescent="0.25">
      <c r="B22" s="17" t="s">
        <v>40</v>
      </c>
      <c r="E22" s="26"/>
      <c r="F22" s="26"/>
    </row>
    <row r="24" spans="2:11" x14ac:dyDescent="0.25">
      <c r="B24" s="36" t="s">
        <v>41</v>
      </c>
      <c r="C24" s="46"/>
      <c r="D24" s="46"/>
      <c r="E24" s="47">
        <f>E9+E21</f>
        <v>13210691.700000001</v>
      </c>
      <c r="F24" s="47">
        <f>F9+F21</f>
        <v>5943009</v>
      </c>
      <c r="G24" s="47">
        <f>G9+G21</f>
        <v>5131252.8344750013</v>
      </c>
      <c r="H24" s="36"/>
      <c r="I24" s="47">
        <f>I9+I21</f>
        <v>13210691.700000001</v>
      </c>
      <c r="J24" s="47">
        <f>J9+J21</f>
        <v>5236372</v>
      </c>
      <c r="K24" s="48">
        <f>K9+K21</f>
        <v>4405765.681950001</v>
      </c>
    </row>
  </sheetData>
  <mergeCells count="5">
    <mergeCell ref="D4:G4"/>
    <mergeCell ref="H4:K4"/>
    <mergeCell ref="D14:G14"/>
    <mergeCell ref="H14:K14"/>
    <mergeCell ref="A2:K2"/>
  </mergeCells>
  <pageMargins left="0.7" right="0.7" top="0.75" bottom="0.75" header="0.3" footer="0.3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D439-40A7-40FE-AC5D-BBC19C370A91}">
  <sheetPr codeName="Sheet3">
    <tabColor theme="9" tint="0.59999389629810485"/>
  </sheetPr>
  <dimension ref="B1:S19"/>
  <sheetViews>
    <sheetView showGridLines="0" zoomScaleNormal="100" workbookViewId="0">
      <selection activeCell="B1" sqref="B1"/>
    </sheetView>
  </sheetViews>
  <sheetFormatPr defaultColWidth="8.7109375" defaultRowHeight="12.75" x14ac:dyDescent="0.2"/>
  <cols>
    <col min="1" max="1" width="4.7109375" style="1" customWidth="1"/>
    <col min="2" max="2" width="25.140625" style="1" customWidth="1"/>
    <col min="3" max="3" width="12.85546875" style="1" customWidth="1"/>
    <col min="4" max="4" width="12.7109375" style="1" customWidth="1"/>
    <col min="5" max="7" width="16.7109375" style="1" customWidth="1"/>
    <col min="8" max="8" width="12.7109375" style="1" customWidth="1"/>
    <col min="9" max="11" width="16.7109375" style="1" customWidth="1"/>
    <col min="12" max="12" width="12.7109375" style="1" customWidth="1"/>
    <col min="13" max="15" width="16.7109375" style="1" customWidth="1"/>
    <col min="16" max="16" width="12.7109375" style="1" customWidth="1"/>
    <col min="17" max="19" width="16.7109375" style="1" customWidth="1"/>
    <col min="20" max="16384" width="8.7109375" style="1"/>
  </cols>
  <sheetData>
    <row r="1" spans="2:19" x14ac:dyDescent="0.2">
      <c r="B1" s="14"/>
    </row>
    <row r="2" spans="2:19" ht="33" customHeight="1" x14ac:dyDescent="0.2"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</row>
    <row r="3" spans="2:19" x14ac:dyDescent="0.2">
      <c r="D3" s="67">
        <v>2023</v>
      </c>
      <c r="E3" s="68"/>
      <c r="F3" s="68"/>
      <c r="G3" s="69"/>
      <c r="H3" s="67">
        <v>2024</v>
      </c>
      <c r="I3" s="68"/>
      <c r="J3" s="68"/>
      <c r="K3" s="69"/>
      <c r="L3" s="67">
        <v>2025</v>
      </c>
      <c r="M3" s="68"/>
      <c r="N3" s="68"/>
      <c r="O3" s="69"/>
      <c r="P3" s="67" t="s">
        <v>30</v>
      </c>
      <c r="Q3" s="68"/>
      <c r="R3" s="68"/>
      <c r="S3" s="69"/>
    </row>
    <row r="4" spans="2:19" s="17" customFormat="1" ht="25.5" x14ac:dyDescent="0.25">
      <c r="B4" s="18" t="s">
        <v>31</v>
      </c>
      <c r="C4" s="19" t="s">
        <v>20</v>
      </c>
      <c r="D4" s="20" t="s">
        <v>21</v>
      </c>
      <c r="E4" s="21" t="s">
        <v>22</v>
      </c>
      <c r="F4" s="21" t="s">
        <v>37</v>
      </c>
      <c r="G4" s="22" t="s">
        <v>24</v>
      </c>
      <c r="H4" s="20" t="s">
        <v>21</v>
      </c>
      <c r="I4" s="21" t="s">
        <v>22</v>
      </c>
      <c r="J4" s="21" t="s">
        <v>37</v>
      </c>
      <c r="K4" s="22" t="s">
        <v>24</v>
      </c>
      <c r="L4" s="49" t="s">
        <v>21</v>
      </c>
      <c r="M4" s="50" t="s">
        <v>22</v>
      </c>
      <c r="N4" s="50" t="s">
        <v>37</v>
      </c>
      <c r="O4" s="51" t="s">
        <v>24</v>
      </c>
      <c r="P4" s="49" t="s">
        <v>21</v>
      </c>
      <c r="Q4" s="50" t="s">
        <v>22</v>
      </c>
      <c r="R4" s="50" t="s">
        <v>23</v>
      </c>
      <c r="S4" s="51" t="s">
        <v>24</v>
      </c>
    </row>
    <row r="5" spans="2:19" s="17" customFormat="1" x14ac:dyDescent="0.25">
      <c r="B5" s="23" t="s">
        <v>50</v>
      </c>
      <c r="C5" s="24">
        <v>0.22</v>
      </c>
      <c r="D5" s="25">
        <v>1.05</v>
      </c>
      <c r="E5" s="26">
        <f t="shared" ref="E5:E11" si="0">+C5*$E$12</f>
        <v>3679344.2620000006</v>
      </c>
      <c r="F5" s="27">
        <v>2361573</v>
      </c>
      <c r="G5" s="28" cm="1">
        <f t="array" ref="G5">_xlfn.IFS(D5&lt;70%,0,D5&lt;130%,(D5-70%)/60%*C5*$E$12,D5&gt;=130%,E5)</f>
        <v>2146284.1528333337</v>
      </c>
      <c r="H5" s="25">
        <v>2</v>
      </c>
      <c r="I5" s="26">
        <f>+C5*$I$12</f>
        <v>4027802.3939999999</v>
      </c>
      <c r="J5" s="27">
        <v>4910664</v>
      </c>
      <c r="K5" s="28" cm="1">
        <f t="array" ref="K5">_xlfn.IFS(H5&lt;70%,0,H5&lt;130%,(H5-70%)/60%*C5*$I$12,H5&gt;=130%,I5)</f>
        <v>4027802.3939999999</v>
      </c>
      <c r="L5" s="25">
        <v>0.94</v>
      </c>
      <c r="M5" s="26">
        <f>+C5*$M$12</f>
        <v>4293188.4820000008</v>
      </c>
      <c r="N5" s="27">
        <v>1573837</v>
      </c>
      <c r="O5" s="28" cm="1">
        <f t="array" ref="O5">_xlfn.IFS(L5&lt;70%,0,L5&lt;130%,(L5-70%)/60%*C5*$M$12,L5&gt;=130%,M5)</f>
        <v>1717275.3928000003</v>
      </c>
      <c r="P5" s="25">
        <v>1</v>
      </c>
      <c r="Q5" s="26">
        <f>+C5*$Q$12</f>
        <v>4395549.1580000008</v>
      </c>
      <c r="R5" s="27">
        <v>2089853</v>
      </c>
      <c r="S5" s="28" cm="1">
        <f t="array" ref="S5">_xlfn.IFS(P5&lt;70%,0,P5&lt;130%,(P5-70%)/60%*C5*$M$12,P5&gt;=130%,Q5)</f>
        <v>2146594.2410000009</v>
      </c>
    </row>
    <row r="6" spans="2:19" s="17" customFormat="1" x14ac:dyDescent="0.25">
      <c r="B6" s="23" t="s">
        <v>26</v>
      </c>
      <c r="C6" s="24">
        <v>0.22</v>
      </c>
      <c r="D6" s="25">
        <v>0.86</v>
      </c>
      <c r="E6" s="26">
        <f t="shared" si="0"/>
        <v>3679344.2620000006</v>
      </c>
      <c r="F6" s="27">
        <v>841771</v>
      </c>
      <c r="G6" s="28" cm="1">
        <f t="array" ref="G6">_xlfn.IFS(D6&lt;70%,0,D6&lt;130%,(D6-70%)/60%*C6*$E$12,D6&gt;=130%,E6)</f>
        <v>981158.46986666694</v>
      </c>
      <c r="H6" s="25">
        <v>1.18</v>
      </c>
      <c r="I6" s="26">
        <f t="shared" ref="I6:I11" si="1">+C6*$I$12</f>
        <v>4027802.3939999999</v>
      </c>
      <c r="J6" s="27">
        <v>4130554</v>
      </c>
      <c r="K6" s="28" cm="1">
        <f t="array" ref="K6">_xlfn.IFS(H6&lt;70%,0,H6&lt;130%,(H6-70%)/60%*C6*$I$12,H6&gt;=130%,I6)</f>
        <v>3222241.9152000002</v>
      </c>
      <c r="L6" s="25">
        <v>1.17</v>
      </c>
      <c r="M6" s="26">
        <f t="shared" ref="M6:M11" si="2">+C6*$M$12</f>
        <v>4293188.4820000008</v>
      </c>
      <c r="N6" s="27">
        <v>4149732</v>
      </c>
      <c r="O6" s="28" cm="1">
        <f t="array" ref="O6">_xlfn.IFS(L6&lt;70%,0,L6&lt;130%,(L6-70%)/60%*C6*$M$12,L6&gt;=130%,M6)</f>
        <v>3362997.6442333339</v>
      </c>
      <c r="P6" s="25">
        <v>1</v>
      </c>
      <c r="Q6" s="26">
        <f t="shared" ref="Q6:Q11" si="3">+C6*$Q$12</f>
        <v>4395549.1580000008</v>
      </c>
      <c r="R6" s="27">
        <v>2089853</v>
      </c>
      <c r="S6" s="28" cm="1">
        <f t="array" ref="S6">_xlfn.IFS(P6&lt;70%,0,P6&lt;130%,(P6-70%)/60%*C6*$M$12,P6&gt;=130%,Q6)</f>
        <v>2146594.2410000009</v>
      </c>
    </row>
    <row r="7" spans="2:19" s="17" customFormat="1" x14ac:dyDescent="0.25">
      <c r="B7" s="23" t="s">
        <v>32</v>
      </c>
      <c r="C7" s="24">
        <v>0.22</v>
      </c>
      <c r="D7" s="25">
        <v>1</v>
      </c>
      <c r="E7" s="26">
        <f t="shared" si="0"/>
        <v>3679344.2620000006</v>
      </c>
      <c r="F7" s="27">
        <v>1813776</v>
      </c>
      <c r="G7" s="28" cm="1">
        <f t="array" ref="G7">_xlfn.IFS(D7&lt;70%,0,D7&lt;130%,(D7-70%)/60%*C7*$E$12,D7&gt;=130%,E7)</f>
        <v>1839672.1310000008</v>
      </c>
      <c r="H7" s="25">
        <v>0.9</v>
      </c>
      <c r="I7" s="26">
        <f t="shared" si="1"/>
        <v>4027802.3939999999</v>
      </c>
      <c r="J7" s="27">
        <v>1167795</v>
      </c>
      <c r="K7" s="28" cm="1">
        <f t="array" ref="K7">_xlfn.IFS(H7&lt;70%,0,H7&lt;130%,(H7-70%)/60%*C7*$I$12,H7&gt;=130%,I7)</f>
        <v>1342600.7980000004</v>
      </c>
      <c r="L7" s="25">
        <v>1.01</v>
      </c>
      <c r="M7" s="26">
        <f t="shared" si="2"/>
        <v>4293188.4820000008</v>
      </c>
      <c r="N7" s="27">
        <v>2177016</v>
      </c>
      <c r="O7" s="28" cm="1">
        <f t="array" ref="O7">_xlfn.IFS(L7&lt;70%,0,L7&lt;130%,(L7-70%)/60%*C7*$M$12,L7&gt;=130%,M7)</f>
        <v>2218147.3823666675</v>
      </c>
      <c r="P7" s="25">
        <v>1</v>
      </c>
      <c r="Q7" s="26">
        <f t="shared" si="3"/>
        <v>4395549.1580000008</v>
      </c>
      <c r="R7" s="27">
        <v>2089853</v>
      </c>
      <c r="S7" s="28" cm="1">
        <f t="array" ref="S7">_xlfn.IFS(P7&lt;70%,0,P7&lt;130%,(P7-70%)/60%*C7*$M$12,P7&gt;=130%,Q7)</f>
        <v>2146594.2410000009</v>
      </c>
    </row>
    <row r="8" spans="2:19" s="17" customFormat="1" x14ac:dyDescent="0.25">
      <c r="B8" s="23" t="s">
        <v>33</v>
      </c>
      <c r="C8" s="24">
        <v>0.22</v>
      </c>
      <c r="D8" s="25">
        <v>0.88</v>
      </c>
      <c r="E8" s="26">
        <f t="shared" si="0"/>
        <v>3679344.2620000006</v>
      </c>
      <c r="F8" s="27">
        <v>953119</v>
      </c>
      <c r="G8" s="28" cm="1">
        <f t="array" ref="G8">_xlfn.IFS(D8&lt;70%,0,D8&lt;130%,(D8-70%)/60%*C8*$E$12,D8&gt;=130%,E8)</f>
        <v>1103803.2786000003</v>
      </c>
      <c r="H8" s="25">
        <v>0.87</v>
      </c>
      <c r="I8" s="26">
        <f t="shared" si="1"/>
        <v>4027802.3939999999</v>
      </c>
      <c r="J8" s="27">
        <v>966677</v>
      </c>
      <c r="K8" s="28" cm="1">
        <f t="array" ref="K8">_xlfn.IFS(H8&lt;70%,0,H8&lt;130%,(H8-70%)/60%*C8*$I$12,H8&gt;=130%,I8)</f>
        <v>1141210.6783000005</v>
      </c>
      <c r="L8" s="25">
        <v>0.81</v>
      </c>
      <c r="M8" s="26">
        <f t="shared" si="2"/>
        <v>4293188.4820000008</v>
      </c>
      <c r="N8" s="27">
        <v>520179</v>
      </c>
      <c r="O8" s="28" cm="1">
        <f t="array" ref="O8">_xlfn.IFS(L8&lt;70%,0,L8&lt;130%,(L8-70%)/60%*C8*$M$12,L8&gt;=130%,M8)</f>
        <v>787084.55503333418</v>
      </c>
      <c r="P8" s="25">
        <v>1</v>
      </c>
      <c r="Q8" s="26">
        <f t="shared" si="3"/>
        <v>4395549.1580000008</v>
      </c>
      <c r="R8" s="27">
        <v>2089853</v>
      </c>
      <c r="S8" s="28" cm="1">
        <f t="array" ref="S8">_xlfn.IFS(P8&lt;70%,0,P8&lt;130%,(P8-70%)/60%*C8*$M$12,P8&gt;=130%,Q8)</f>
        <v>2146594.2410000009</v>
      </c>
    </row>
    <row r="9" spans="2:19" s="17" customFormat="1" x14ac:dyDescent="0.25">
      <c r="B9" s="23" t="s">
        <v>28</v>
      </c>
      <c r="C9" s="24">
        <v>0.03</v>
      </c>
      <c r="D9" s="52">
        <v>2</v>
      </c>
      <c r="E9" s="26">
        <f t="shared" si="0"/>
        <v>501728.76300000004</v>
      </c>
      <c r="F9" s="27">
        <v>627000</v>
      </c>
      <c r="G9" s="28" cm="1">
        <f t="array" ref="G9">_xlfn.IFS(D9&lt;70%,0,D9&lt;130%,(D9-70%)/60%*C9*$E$12,D9&gt;=130%,E9)</f>
        <v>501728.76300000004</v>
      </c>
      <c r="H9" s="25">
        <v>0.47</v>
      </c>
      <c r="I9" s="26">
        <f t="shared" si="1"/>
        <v>549245.78099999996</v>
      </c>
      <c r="J9" s="27">
        <v>0</v>
      </c>
      <c r="K9" s="28" cm="1">
        <f t="array" ref="K9">_xlfn.IFS(H9&lt;70%,0,H9&lt;130%,(H9-70%)/60%*C9*$I$12,H9&gt;=130%,I9)</f>
        <v>0</v>
      </c>
      <c r="L9" s="25">
        <v>0.85</v>
      </c>
      <c r="M9" s="26">
        <f t="shared" si="2"/>
        <v>585434.79300000006</v>
      </c>
      <c r="N9" s="27">
        <v>112332</v>
      </c>
      <c r="O9" s="28" cm="1">
        <f t="array" ref="O9">_xlfn.IFS(L9&lt;70%,0,L9&lt;130%,(L9-70%)/60%*C9*$M$12,L9&gt;=130%,M9)</f>
        <v>146358.69825000004</v>
      </c>
      <c r="P9" s="25">
        <v>1</v>
      </c>
      <c r="Q9" s="26">
        <f t="shared" si="3"/>
        <v>599393.06700000004</v>
      </c>
      <c r="R9" s="27">
        <v>284980</v>
      </c>
      <c r="S9" s="28" cm="1">
        <f t="array" ref="S9">_xlfn.IFS(P9&lt;70%,0,P9&lt;130%,(P9-70%)/60%*C9*$M$12,P9&gt;=130%,Q9)</f>
        <v>292717.39650000009</v>
      </c>
    </row>
    <row r="10" spans="2:19" s="17" customFormat="1" x14ac:dyDescent="0.25">
      <c r="B10" s="23" t="s">
        <v>34</v>
      </c>
      <c r="C10" s="24">
        <v>0.01</v>
      </c>
      <c r="D10" s="52">
        <v>1.08</v>
      </c>
      <c r="E10" s="26">
        <f t="shared" si="0"/>
        <v>167242.92100000003</v>
      </c>
      <c r="F10" s="27">
        <v>103664</v>
      </c>
      <c r="G10" s="28" cm="1">
        <f t="array" ref="G10">_xlfn.IFS(D10&lt;70%,0,D10&lt;130%,(D10-70%)/60%*C10*$E$12,D10&gt;=130%,E10)</f>
        <v>105920.51663333339</v>
      </c>
      <c r="H10" s="25">
        <v>1.54</v>
      </c>
      <c r="I10" s="26">
        <f t="shared" si="1"/>
        <v>183081.927</v>
      </c>
      <c r="J10" s="27">
        <v>223212</v>
      </c>
      <c r="K10" s="28" cm="1">
        <f t="array" ref="K10">_xlfn.IFS(H10&lt;70%,0,H10&lt;130%,(H10-70%)/60%*C10*$I$12,H10&gt;=130%,I10)</f>
        <v>183081.927</v>
      </c>
      <c r="L10" s="25">
        <v>1.37</v>
      </c>
      <c r="M10" s="26">
        <f t="shared" si="2"/>
        <v>195144.93100000001</v>
      </c>
      <c r="N10" s="27">
        <v>231917</v>
      </c>
      <c r="O10" s="28" cm="1">
        <f t="array" ref="O10">_xlfn.IFS(L10&lt;70%,0,L10&lt;130%,(L10-70%)/60%*C10*$M$12,L10&gt;=130%,M10)</f>
        <v>195144.93100000001</v>
      </c>
      <c r="P10" s="25">
        <v>1</v>
      </c>
      <c r="Q10" s="26">
        <f t="shared" si="3"/>
        <v>199797.68900000001</v>
      </c>
      <c r="R10" s="27">
        <v>94993</v>
      </c>
      <c r="S10" s="28" cm="1">
        <f t="array" ref="S10">_xlfn.IFS(P10&lt;70%,0,P10&lt;130%,(P10-70%)/60%*C10*$M$12,P10&gt;=130%,Q10)</f>
        <v>97572.46550000002</v>
      </c>
    </row>
    <row r="11" spans="2:19" s="17" customFormat="1" x14ac:dyDescent="0.25">
      <c r="B11" s="30" t="s">
        <v>35</v>
      </c>
      <c r="C11" s="31">
        <v>0.08</v>
      </c>
      <c r="D11" s="32">
        <v>0.9</v>
      </c>
      <c r="E11" s="33">
        <f t="shared" si="0"/>
        <v>1337943.3680000002</v>
      </c>
      <c r="F11" s="34">
        <v>405444</v>
      </c>
      <c r="G11" s="35" cm="1">
        <f t="array" ref="G11">_xlfn.IFS(D11&lt;70%,0,D11&lt;130%,(D11-70%)/60%*C11*$E$12,D11&gt;=130%,E11)</f>
        <v>445981.12266666692</v>
      </c>
      <c r="H11" s="32">
        <v>1.1399999999999999</v>
      </c>
      <c r="I11" s="33">
        <f t="shared" si="1"/>
        <v>1464655.416</v>
      </c>
      <c r="J11" s="34">
        <v>1332720</v>
      </c>
      <c r="K11" s="35" cm="1">
        <f t="array" ref="K11">_xlfn.IFS(H11&lt;70%,0,H11&lt;130%,(H11-70%)/60%*C11*$I$12,H11&gt;=130%,I11)</f>
        <v>1074080.6383999998</v>
      </c>
      <c r="L11" s="32">
        <v>1.1499999999999999</v>
      </c>
      <c r="M11" s="33">
        <f t="shared" si="2"/>
        <v>1561159.4480000001</v>
      </c>
      <c r="N11" s="34">
        <v>1410748</v>
      </c>
      <c r="O11" s="35" cm="1">
        <f t="array" ref="O11">_xlfn.IFS(L11&lt;70%,0,L11&lt;130%,(L11-70%)/60%*C11*$M$12,L11&gt;=130%,M11)</f>
        <v>1170869.5860000001</v>
      </c>
      <c r="P11" s="32">
        <v>1</v>
      </c>
      <c r="Q11" s="33">
        <f t="shared" si="3"/>
        <v>1598381.5120000001</v>
      </c>
      <c r="R11" s="34">
        <v>759946</v>
      </c>
      <c r="S11" s="35" cm="1">
        <f t="array" ref="S11">_xlfn.IFS(P11&lt;70%,0,P11&lt;130%,(P11-70%)/60%*C11*$M$12,P11&gt;=130%,Q11)</f>
        <v>780579.72400000016</v>
      </c>
    </row>
    <row r="12" spans="2:19" s="17" customFormat="1" x14ac:dyDescent="0.25">
      <c r="B12" s="36" t="s">
        <v>38</v>
      </c>
      <c r="C12" s="37">
        <f>SUM(C5:C11)</f>
        <v>1</v>
      </c>
      <c r="D12" s="36"/>
      <c r="E12" s="38">
        <f>+'DSMI Table'!G8</f>
        <v>16724292.100000001</v>
      </c>
      <c r="F12" s="39">
        <f>SUM(F5:F11)</f>
        <v>7106347</v>
      </c>
      <c r="G12" s="40">
        <f>SUM(G5:G11)</f>
        <v>7124548.4346000021</v>
      </c>
      <c r="H12" s="36"/>
      <c r="I12" s="38">
        <f>+'DSMI Table'!H8</f>
        <v>18308192.699999999</v>
      </c>
      <c r="J12" s="39">
        <f>SUM(J5:J11)</f>
        <v>12731622</v>
      </c>
      <c r="K12" s="40">
        <f>SUM(K5:K11)</f>
        <v>10991018.3509</v>
      </c>
      <c r="L12" s="36"/>
      <c r="M12" s="38">
        <f>+'DSMI Table'!I8</f>
        <v>19514493.100000001</v>
      </c>
      <c r="N12" s="39">
        <f>SUM(N5:N11)</f>
        <v>10175761</v>
      </c>
      <c r="O12" s="40">
        <f>SUM(O5:O11)</f>
        <v>9597878.1896833368</v>
      </c>
      <c r="P12" s="36"/>
      <c r="Q12" s="38">
        <f>+'DSMI Table'!J8</f>
        <v>19979768.900000002</v>
      </c>
      <c r="R12" s="39">
        <f>SUM(R5:R11)</f>
        <v>9499331</v>
      </c>
      <c r="S12" s="40">
        <f>SUM(S5:S11)</f>
        <v>9757246.5500000045</v>
      </c>
    </row>
    <row r="13" spans="2:19" x14ac:dyDescent="0.2">
      <c r="C13" s="12"/>
      <c r="E13" s="53"/>
      <c r="F13" s="54"/>
      <c r="G13" s="53"/>
      <c r="I13" s="53"/>
      <c r="J13" s="54"/>
      <c r="K13" s="53"/>
      <c r="M13" s="53"/>
      <c r="N13" s="54"/>
      <c r="O13" s="53"/>
      <c r="Q13" s="53"/>
      <c r="R13" s="54"/>
      <c r="S13" s="53"/>
    </row>
    <row r="14" spans="2:19" x14ac:dyDescent="0.2">
      <c r="E14" s="55"/>
      <c r="G14" s="55"/>
    </row>
    <row r="15" spans="2:19" x14ac:dyDescent="0.2">
      <c r="D15" s="56"/>
    </row>
    <row r="17" spans="4:9" x14ac:dyDescent="0.2">
      <c r="D17" s="57"/>
    </row>
    <row r="18" spans="4:9" x14ac:dyDescent="0.2">
      <c r="D18" s="57"/>
    </row>
    <row r="19" spans="4:9" x14ac:dyDescent="0.2">
      <c r="I19" s="58"/>
    </row>
  </sheetData>
  <mergeCells count="4">
    <mergeCell ref="D3:G3"/>
    <mergeCell ref="H3:K3"/>
    <mergeCell ref="L3:O3"/>
    <mergeCell ref="P3:S3"/>
  </mergeCells>
  <printOptions horizontalCentered="1"/>
  <pageMargins left="0.2" right="0.2" top="1.25" bottom="0.75" header="0.3" footer="0.3"/>
  <pageSetup scale="80" orientation="landscape" r:id="rId1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D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838FDB5C-EFE1-4C0F-9171-1B5FAA564064}"/>
</file>

<file path=customXml/itemProps2.xml><?xml version="1.0" encoding="utf-8"?>
<ds:datastoreItem xmlns:ds="http://schemas.openxmlformats.org/officeDocument/2006/customXml" ds:itemID="{4270409D-A15B-4E6A-AD49-F2FCB444F5AE}"/>
</file>

<file path=customXml/itemProps3.xml><?xml version="1.0" encoding="utf-8"?>
<ds:datastoreItem xmlns:ds="http://schemas.openxmlformats.org/officeDocument/2006/customXml" ds:itemID="{94F75BEE-3993-49CF-9EB1-79C9705215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DSMI Table</vt:lpstr>
      <vt:lpstr>Calculations 21 - 22</vt:lpstr>
      <vt:lpstr>Calculations 23 - 26</vt:lpstr>
      <vt:lpstr>'Calculations 21 - 22'!Print_Area</vt:lpstr>
      <vt:lpstr>'DSMI Table'!Print_Area</vt:lpstr>
      <vt:lpstr>'Calculations 23 - 26'!Print_Titles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2026-06-18T22:18:42Z</dcterms:created>
  <dcterms:modified xsi:type="dcterms:W3CDTF">2026-06-18T22:24:10Z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b1a6f161-e42b-4c47-8f69-f6a81e023e2d_Name">
    <vt:lpwstr>b1a6f161-e42b-4c47-8f69-f6a81e023e2d</vt:lpwstr>
  </property>
  <property fmtid="{D5CDD505-2E9C-101B-9397-08002B2CF9AE}" pid="4" name="MSIP_Label_b1a6f161-e42b-4c47-8f69-f6a81e023e2d_Tag">
    <vt:lpwstr>10, 3, 0, 1</vt:lpwstr>
  </property>
  <property fmtid="{D5CDD505-2E9C-101B-9397-08002B2CF9AE}" pid="5" name="MediaServiceImageTags">
    <vt:lpwstr/>
  </property>
  <property fmtid="{D5CDD505-2E9C-101B-9397-08002B2CF9AE}" pid="6" name="ContentTypeId">
    <vt:lpwstr>0x010100F81276DF02A4AB4F850C8FDE71AFD584</vt:lpwstr>
  </property>
  <property fmtid="{D5CDD505-2E9C-101B-9397-08002B2CF9AE}" pid="7" name="MSIP_Label_b1a6f161-e42b-4c47-8f69-f6a81e023e2d_Enabled">
    <vt:lpwstr>true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iteId">
    <vt:lpwstr>271df5c2-953a-497b-93ad-7adf7a4b3cd7</vt:lpwstr>
  </property>
  <property fmtid="{D5CDD505-2E9C-101B-9397-08002B2CF9AE}" pid="11" name="MSIP_Label_b1a6f161-e42b-4c47-8f69-f6a81e023e2d_SetDate">
    <vt:lpwstr>2026-06-18T21:46:13Z</vt:lpwstr>
  </property>
  <property fmtid="{D5CDD505-2E9C-101B-9397-08002B2CF9AE}" pid="12" name="MSIP_Label_b1a6f161-e42b-4c47-8f69-f6a81e023e2d_ActionId">
    <vt:lpwstr>1a30acbb-1b72-42f1-89dd-9cb47d1a6610</vt:lpwstr>
  </property>
  <property fmtid="{D5CDD505-2E9C-101B-9397-08002B2CF9AE}" pid="13" name="SV_HIDDEN_GRID_QUERY_LIST_4F35BF76-6C0D-4D9B-82B2-816C12CF3733">
    <vt:lpwstr>empty_477D106A-C0D6-4607-AEBD-E2C9D60EA279</vt:lpwstr>
  </property>
</Properties>
</file>